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T:\BUDGETS\2022-2023\"/>
    </mc:Choice>
  </mc:AlternateContent>
  <xr:revisionPtr revIDLastSave="0" documentId="13_ncr:1_{A585F818-3AAE-4541-A748-045637F03331}" xr6:coauthVersionLast="47" xr6:coauthVersionMax="47" xr10:uidLastSave="{00000000-0000-0000-0000-000000000000}"/>
  <bookViews>
    <workbookView xWindow="-104" yWindow="-104" windowWidth="22326" windowHeight="12050" firstSheet="1" activeTab="1" xr2:uid="{00000000-000D-0000-FFFF-FFFF00000000}"/>
  </bookViews>
  <sheets>
    <sheet name=" Budget" sheetId="1" state="hidden" r:id="rId1"/>
    <sheet name="Budget" sheetId="19" r:id="rId2"/>
    <sheet name="Reserves" sheetId="6" r:id="rId3"/>
    <sheet name="Precept options" sheetId="15" state="hidden" r:id="rId4"/>
    <sheet name="Precept form fill" sheetId="18" state="hidden" r:id="rId5"/>
    <sheet name="IGNORE THIS" sheetId="16" state="hidden" r:id="rId6"/>
  </sheets>
  <externalReferences>
    <externalReference r:id="rId7"/>
    <externalReference r:id="rId8"/>
    <externalReference r:id="rId9"/>
    <externalReference r:id="rId10"/>
  </externalReferences>
  <definedNames>
    <definedName name="Parish">'[1]16-17 Grants &amp; Tax Base'!$C$7:$C$8</definedName>
    <definedName name="_xlnm.Print_Area" localSheetId="0">' Budget'!$A$1:$I$81</definedName>
    <definedName name="_xlnm.Print_Area" localSheetId="1">Budget!$A$1:$I$85</definedName>
    <definedName name="_xlnm.Print_Area" localSheetId="4">'Precept form fill'!$A$1:$I$69</definedName>
    <definedName name="_xlnm.Print_Area" localSheetId="3">'Precept options'!$A$1:$H$28</definedName>
    <definedName name="_xlnm.Print_Area" localSheetId="2">Reserves!$A$1:$C$8</definedName>
    <definedName name="_xlnm.Print_Titles" localSheetId="1">Budget!$2:$3</definedName>
    <definedName name="_xlnm.Print_Titles" localSheetId="4">'Precept form fill'!$2:$3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5" l="1"/>
  <c r="C15" i="15"/>
  <c r="G75" i="19"/>
  <c r="C65" i="19"/>
  <c r="F63" i="19"/>
  <c r="E63" i="19"/>
  <c r="E65" i="19" s="1"/>
  <c r="D63" i="19"/>
  <c r="G62" i="19"/>
  <c r="G61" i="19"/>
  <c r="G60" i="19"/>
  <c r="G59" i="19"/>
  <c r="G58" i="19"/>
  <c r="G56" i="19"/>
  <c r="G63" i="19" s="1"/>
  <c r="E52" i="19"/>
  <c r="D52" i="19"/>
  <c r="C52" i="19"/>
  <c r="G51" i="19"/>
  <c r="G50" i="19"/>
  <c r="G49" i="19"/>
  <c r="H48" i="19"/>
  <c r="G48" i="19"/>
  <c r="G47" i="19"/>
  <c r="F47" i="19"/>
  <c r="G46" i="19"/>
  <c r="G45" i="19"/>
  <c r="G44" i="19"/>
  <c r="F43" i="19"/>
  <c r="G43" i="19" s="1"/>
  <c r="H42" i="19"/>
  <c r="F42" i="19"/>
  <c r="G42" i="19" s="1"/>
  <c r="H41" i="19"/>
  <c r="F41" i="19"/>
  <c r="G41" i="19" s="1"/>
  <c r="H40" i="19"/>
  <c r="F40" i="19"/>
  <c r="G40" i="19" s="1"/>
  <c r="G39" i="19"/>
  <c r="G38" i="19"/>
  <c r="G37" i="19"/>
  <c r="G36" i="19"/>
  <c r="G35" i="19"/>
  <c r="G34" i="19"/>
  <c r="G33" i="19"/>
  <c r="G32" i="19"/>
  <c r="G31" i="19"/>
  <c r="F31" i="19"/>
  <c r="G30" i="19"/>
  <c r="G29" i="19"/>
  <c r="G28" i="19"/>
  <c r="G27" i="19"/>
  <c r="G26" i="19"/>
  <c r="G25" i="19"/>
  <c r="G24" i="19"/>
  <c r="G23" i="19"/>
  <c r="H22" i="19"/>
  <c r="F22" i="19"/>
  <c r="G22" i="19" s="1"/>
  <c r="G21" i="19"/>
  <c r="G20" i="19"/>
  <c r="G19" i="19"/>
  <c r="G18" i="19"/>
  <c r="G17" i="19"/>
  <c r="H16" i="19"/>
  <c r="G16" i="19"/>
  <c r="H15" i="19"/>
  <c r="F15" i="19"/>
  <c r="G15" i="19" s="1"/>
  <c r="F14" i="19"/>
  <c r="G14" i="19" s="1"/>
  <c r="F13" i="19"/>
  <c r="G13" i="19" s="1"/>
  <c r="G12" i="19"/>
  <c r="G11" i="19"/>
  <c r="G10" i="19"/>
  <c r="G9" i="19"/>
  <c r="G8" i="19"/>
  <c r="G7" i="19"/>
  <c r="F6" i="19"/>
  <c r="G6" i="19" s="1"/>
  <c r="H5" i="19"/>
  <c r="F5" i="19"/>
  <c r="G5" i="19" s="1"/>
  <c r="H4" i="19"/>
  <c r="G4" i="19"/>
  <c r="F4" i="19"/>
  <c r="F52" i="19" s="1"/>
  <c r="G52" i="19" l="1"/>
  <c r="H6" i="19"/>
  <c r="H52" i="19" s="1"/>
  <c r="G81" i="19" s="1"/>
  <c r="H76" i="19" l="1"/>
  <c r="G74" i="19"/>
  <c r="G65" i="19"/>
  <c r="H56" i="19" l="1"/>
  <c r="H63" i="19" s="1"/>
  <c r="G82" i="19" l="1"/>
  <c r="H83" i="19" s="1"/>
  <c r="H65" i="19"/>
  <c r="C25" i="15" l="1"/>
  <c r="C24" i="15"/>
  <c r="C23" i="15"/>
  <c r="C22" i="15"/>
  <c r="C21" i="15"/>
  <c r="C20" i="15"/>
  <c r="C19" i="15"/>
  <c r="C18" i="15"/>
  <c r="C17" i="15"/>
  <c r="C13" i="15"/>
  <c r="C14" i="15"/>
  <c r="H15" i="15"/>
  <c r="F15" i="15"/>
  <c r="G15" i="15" l="1"/>
  <c r="B7" i="6" l="1"/>
  <c r="B8" i="6" s="1"/>
  <c r="G70" i="19" s="1"/>
  <c r="H71" i="19" s="1"/>
  <c r="H78" i="19" s="1"/>
  <c r="H85" i="19" s="1"/>
  <c r="H17" i="15" l="1"/>
  <c r="H16" i="15"/>
  <c r="H25" i="15"/>
  <c r="H24" i="15"/>
  <c r="H23" i="15"/>
  <c r="H22" i="15"/>
  <c r="H21" i="15"/>
  <c r="H20" i="15"/>
  <c r="H19" i="15"/>
  <c r="H18" i="15"/>
  <c r="G16" i="15"/>
  <c r="F16" i="15"/>
  <c r="P14" i="18" l="1"/>
  <c r="P13" i="18"/>
  <c r="Q13" i="18"/>
  <c r="D55" i="18"/>
  <c r="E55" i="18"/>
  <c r="C55" i="18"/>
  <c r="G54" i="18"/>
  <c r="G53" i="18"/>
  <c r="G48" i="18"/>
  <c r="G49" i="18"/>
  <c r="G51" i="18"/>
  <c r="G52" i="18"/>
  <c r="G37" i="18"/>
  <c r="G36" i="18"/>
  <c r="G30" i="18"/>
  <c r="G29" i="18"/>
  <c r="G28" i="18"/>
  <c r="G26" i="18"/>
  <c r="G25" i="18"/>
  <c r="G23" i="18"/>
  <c r="G22" i="18"/>
  <c r="H60" i="18" l="1"/>
  <c r="P4" i="18"/>
  <c r="P5" i="18" l="1"/>
  <c r="O10" i="18"/>
  <c r="O7" i="18" l="1"/>
  <c r="O6" i="18"/>
  <c r="O5" i="18"/>
  <c r="F66" i="18"/>
  <c r="E66" i="18"/>
  <c r="D66" i="18"/>
  <c r="G64" i="18"/>
  <c r="G63" i="18"/>
  <c r="G62" i="18"/>
  <c r="G61" i="18"/>
  <c r="G59" i="18"/>
  <c r="C68" i="18"/>
  <c r="F50" i="18"/>
  <c r="G50" i="18" s="1"/>
  <c r="G47" i="18"/>
  <c r="G46" i="18"/>
  <c r="G45" i="18"/>
  <c r="F44" i="18"/>
  <c r="G44" i="18" s="1"/>
  <c r="H43" i="18"/>
  <c r="O9" i="18" s="1"/>
  <c r="G43" i="18"/>
  <c r="H42" i="18"/>
  <c r="O8" i="18" s="1"/>
  <c r="G42" i="18"/>
  <c r="G41" i="18"/>
  <c r="G40" i="18"/>
  <c r="G39" i="18"/>
  <c r="G38" i="18"/>
  <c r="G35" i="18"/>
  <c r="G34" i="18"/>
  <c r="G33" i="18"/>
  <c r="G32" i="18"/>
  <c r="G31" i="18"/>
  <c r="F27" i="18"/>
  <c r="G27" i="18" s="1"/>
  <c r="F24" i="18"/>
  <c r="G24" i="18" s="1"/>
  <c r="G21" i="18"/>
  <c r="G20" i="18"/>
  <c r="G19" i="18"/>
  <c r="G18" i="18"/>
  <c r="H17" i="18"/>
  <c r="G17" i="18"/>
  <c r="H16" i="18"/>
  <c r="F16" i="18"/>
  <c r="G16" i="18" s="1"/>
  <c r="G15" i="18"/>
  <c r="G14" i="18"/>
  <c r="F13" i="18"/>
  <c r="G13" i="18" s="1"/>
  <c r="G12" i="18"/>
  <c r="G11" i="18"/>
  <c r="G10" i="18"/>
  <c r="G9" i="18"/>
  <c r="G8" i="18"/>
  <c r="G7" i="18"/>
  <c r="F6" i="18"/>
  <c r="G6" i="18" s="1"/>
  <c r="F5" i="18"/>
  <c r="G5" i="18" s="1"/>
  <c r="H5" i="18" s="1"/>
  <c r="F4" i="18"/>
  <c r="F55" i="18" l="1"/>
  <c r="G66" i="18"/>
  <c r="E68" i="18"/>
  <c r="G4" i="18"/>
  <c r="G55" i="18" s="1"/>
  <c r="H4" i="18" l="1"/>
  <c r="G68" i="18" l="1"/>
  <c r="H6" i="18"/>
  <c r="O4" i="18" s="1"/>
  <c r="O13" i="18" s="1"/>
  <c r="H55" i="18" l="1"/>
  <c r="H14" i="15" l="1"/>
  <c r="F25" i="15"/>
  <c r="G24" i="15"/>
  <c r="G22" i="15"/>
  <c r="G23" i="15"/>
  <c r="G25" i="15"/>
  <c r="G21" i="15"/>
  <c r="G20" i="15"/>
  <c r="G19" i="15"/>
  <c r="G18" i="15"/>
  <c r="G17" i="15"/>
  <c r="H59" i="18"/>
  <c r="F19" i="15"/>
  <c r="F20" i="15"/>
  <c r="F21" i="15"/>
  <c r="F22" i="15"/>
  <c r="F24" i="15"/>
  <c r="F18" i="15"/>
  <c r="H66" i="18" l="1"/>
  <c r="H68" i="18" s="1"/>
  <c r="Q4" i="18"/>
  <c r="F14" i="15" l="1"/>
  <c r="F13" i="15"/>
  <c r="G14" i="15" l="1"/>
  <c r="D12" i="15" l="1"/>
  <c r="D11" i="15"/>
  <c r="H13" i="15" l="1"/>
  <c r="C12" i="15"/>
  <c r="F12" i="15"/>
  <c r="F11" i="15"/>
  <c r="E11" i="15"/>
  <c r="H11" i="15"/>
  <c r="H10" i="15"/>
  <c r="F10" i="15"/>
  <c r="E10" i="15"/>
  <c r="C10" i="15"/>
  <c r="F9" i="15"/>
  <c r="E9" i="15"/>
  <c r="C9" i="15"/>
  <c r="G10" i="15" l="1"/>
  <c r="G13" i="15"/>
  <c r="C11" i="15"/>
  <c r="G11" i="15" s="1"/>
  <c r="E12" i="15"/>
  <c r="H12" i="15"/>
  <c r="G12" i="15" l="1"/>
  <c r="F68" i="1" l="1"/>
  <c r="G57" i="1" l="1"/>
  <c r="H52" i="1"/>
  <c r="F52" i="1"/>
  <c r="G52" i="1" s="1"/>
  <c r="G51" i="1"/>
  <c r="F45" i="1"/>
  <c r="G45" i="1" s="1"/>
  <c r="F46" i="1"/>
  <c r="F44" i="1"/>
  <c r="F43" i="1"/>
  <c r="G43" i="1" s="1"/>
  <c r="F42" i="1"/>
  <c r="G42" i="1" s="1"/>
  <c r="F41" i="1" l="1"/>
  <c r="G41" i="1" s="1"/>
  <c r="G40" i="1"/>
  <c r="G38" i="1"/>
  <c r="F37" i="1"/>
  <c r="G37" i="1" s="1"/>
  <c r="G35" i="1"/>
  <c r="F34" i="1"/>
  <c r="F32" i="1"/>
  <c r="G32" i="1" s="1"/>
  <c r="F8" i="1"/>
  <c r="F19" i="1"/>
  <c r="G19" i="1" s="1"/>
  <c r="G31" i="1"/>
  <c r="G30" i="1"/>
  <c r="G24" i="1"/>
  <c r="F23" i="1"/>
  <c r="G23" i="1" s="1"/>
  <c r="G21" i="1"/>
  <c r="F18" i="1"/>
  <c r="G18" i="1" s="1"/>
  <c r="F9" i="1"/>
  <c r="F15" i="1"/>
  <c r="G15" i="1" s="1"/>
  <c r="F16" i="1"/>
  <c r="F17" i="1"/>
  <c r="G17" i="1" s="1"/>
  <c r="G9" i="1"/>
  <c r="G14" i="1"/>
  <c r="G13" i="1"/>
  <c r="G11" i="1"/>
  <c r="F27" i="1"/>
  <c r="G27" i="1" s="1"/>
  <c r="G6" i="1"/>
  <c r="F5" i="1"/>
  <c r="G5" i="1" s="1"/>
  <c r="H5" i="1" s="1"/>
  <c r="G66" i="1" l="1"/>
  <c r="G65" i="1"/>
  <c r="G64" i="1"/>
  <c r="G63" i="1"/>
  <c r="G55" i="1" l="1"/>
  <c r="G56" i="1"/>
  <c r="G44" i="1"/>
  <c r="G46" i="1"/>
  <c r="G47" i="1"/>
  <c r="G50" i="1"/>
  <c r="G36" i="1"/>
  <c r="G39" i="1"/>
  <c r="G22" i="1"/>
  <c r="G25" i="1"/>
  <c r="G26" i="1"/>
  <c r="G33" i="1"/>
  <c r="G20" i="1"/>
  <c r="G62" i="1"/>
  <c r="G68" i="1" s="1"/>
  <c r="H62" i="1"/>
  <c r="H68" i="1" s="1"/>
  <c r="G34" i="1"/>
  <c r="G16" i="1"/>
  <c r="G8" i="1"/>
  <c r="F58" i="1" l="1"/>
  <c r="G4" i="1"/>
  <c r="H4" i="1" s="1"/>
  <c r="H6" i="1" s="1"/>
  <c r="G58" i="1" l="1"/>
  <c r="D68" i="1"/>
  <c r="D58" i="1"/>
  <c r="H43" i="1" l="1"/>
  <c r="F75" i="1" l="1"/>
  <c r="E58" i="1"/>
  <c r="E68" i="1"/>
  <c r="C68" i="1"/>
  <c r="E70" i="1" l="1"/>
  <c r="G70" i="1" l="1"/>
  <c r="F77" i="1" s="1"/>
  <c r="H58" i="1" l="1"/>
  <c r="C58" i="1" l="1"/>
  <c r="C70" i="1" s="1"/>
  <c r="H70" i="1" l="1"/>
  <c r="F79" i="1" s="1"/>
  <c r="F81" i="1" s="1"/>
  <c r="F17" i="15" l="1"/>
  <c r="F2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shindry</author>
    <author>Hindry, Susan</author>
  </authors>
  <commentList>
    <comment ref="G3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includes committed expenditure such as grants not yet claimed etc</t>
        </r>
      </text>
    </comment>
    <comment ref="G29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includes committed expenditure such as grants not yet claimed etc</t>
        </r>
      </text>
    </comment>
    <comment ref="G54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includes committed expenditure such as grants not yet claimed etc</t>
        </r>
      </text>
    </comment>
    <comment ref="C5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per Annual Return</t>
        </r>
      </text>
    </comment>
    <comment ref="F73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Adopted year end accounts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shindry</author>
    <author>Hindry, Susan</author>
  </authors>
  <commentList>
    <comment ref="G3" authorId="0" shapeId="0" xr:uid="{5B191677-2D54-43F1-ABE2-F60D42C3E514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includes committed expenditure such as grants not yet claimed etc</t>
        </r>
      </text>
    </comment>
    <comment ref="C63" authorId="1" shapeId="0" xr:uid="{F7BA8752-BB5C-4E20-B01D-F43D25937142}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Figure affected by roundup/down from 457,990 to 457,989 (per Annual Return)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shindry</author>
    <author>Hindry, Susan</author>
  </authors>
  <commentList>
    <comment ref="G3" authorId="0" shapeId="0" xr:uid="{DDF741BB-27DA-4C9B-827C-89BD2D0BD8ED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includes committed expenditure such as grants not yet claimed etc</t>
        </r>
      </text>
    </comment>
    <comment ref="C66" authorId="1" shapeId="0" xr:uid="{21369983-39D8-49A0-B566-E170F2692F30}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Figure affected by roundup/down from 457,990 to 457,989 (per Annual Return)</t>
        </r>
      </text>
    </comment>
  </commentList>
</comments>
</file>

<file path=xl/sharedStrings.xml><?xml version="1.0" encoding="utf-8"?>
<sst xmlns="http://schemas.openxmlformats.org/spreadsheetml/2006/main" count="490" uniqueCount="242">
  <si>
    <t>Notes</t>
  </si>
  <si>
    <t>Actual</t>
  </si>
  <si>
    <t>Agreed Budget</t>
  </si>
  <si>
    <t>Projected Year End</t>
  </si>
  <si>
    <t>Budget</t>
  </si>
  <si>
    <t>EXPENDITURE</t>
  </si>
  <si>
    <t>Staff Salaries Gross</t>
  </si>
  <si>
    <t>Employers National Insurance</t>
  </si>
  <si>
    <t>Employers Pension Costs</t>
  </si>
  <si>
    <t>Staff Travel</t>
  </si>
  <si>
    <t>Training &amp; Other Staff Costs</t>
  </si>
  <si>
    <t>Allowance - Chairman</t>
  </si>
  <si>
    <t>Audit - Independent</t>
  </si>
  <si>
    <t>Audit -External</t>
  </si>
  <si>
    <t>Bank Charges</t>
  </si>
  <si>
    <t>Business Rates</t>
  </si>
  <si>
    <t>Cleaning</t>
  </si>
  <si>
    <t>Computer Mtce incl Phones</t>
  </si>
  <si>
    <t>Computer Software</t>
  </si>
  <si>
    <t>Election Expenses</t>
  </si>
  <si>
    <t>Emergency repairs/maintenance</t>
  </si>
  <si>
    <t>Health &amp; Safety</t>
  </si>
  <si>
    <t>Insurance</t>
  </si>
  <si>
    <t>Legal Expenses</t>
  </si>
  <si>
    <t>Office Equipment</t>
  </si>
  <si>
    <t>Office Rental</t>
  </si>
  <si>
    <t>Office Service Charge</t>
  </si>
  <si>
    <t>Professional Fees</t>
  </si>
  <si>
    <t>Petty Cash</t>
  </si>
  <si>
    <t>Photocopy Costs</t>
  </si>
  <si>
    <t>Stationery</t>
  </si>
  <si>
    <t>Subscriptions</t>
  </si>
  <si>
    <t>Training - Councillors</t>
  </si>
  <si>
    <t>St Edmunds Day Celebrations</t>
  </si>
  <si>
    <t>Allotments</t>
  </si>
  <si>
    <t>Litter Bins</t>
  </si>
  <si>
    <t>Salt/Grit Bins</t>
  </si>
  <si>
    <t>War Memorials</t>
  </si>
  <si>
    <t>INCOME</t>
  </si>
  <si>
    <t>Precept Received</t>
  </si>
  <si>
    <t>Bank &amp; Investment Interest</t>
  </si>
  <si>
    <t>Allotment Income</t>
  </si>
  <si>
    <t>St Edmund's Day DONATIONS</t>
  </si>
  <si>
    <t>SURPLUS/DEFICIENCY FOR YEAR</t>
  </si>
  <si>
    <t>Barclays Loyalty Reward</t>
  </si>
  <si>
    <t>Annual Report to Residents</t>
  </si>
  <si>
    <t>Bury in Bloom Basic</t>
  </si>
  <si>
    <t>Locality budgets</t>
  </si>
  <si>
    <t>Grant Funding - general</t>
  </si>
  <si>
    <t>Grant Funding - sports</t>
  </si>
  <si>
    <t>Grant Funding - well being</t>
  </si>
  <si>
    <t>All stationery items including printer toner cartridges and postage stamps</t>
  </si>
  <si>
    <t>Magna Carta Trust</t>
  </si>
  <si>
    <t>£2,500 per Councillor</t>
  </si>
  <si>
    <t>Speed Indicator Devices</t>
  </si>
  <si>
    <t>Town Centre Masterplan</t>
  </si>
  <si>
    <t>Committed Expenditure</t>
  </si>
  <si>
    <t>Anticipated income</t>
  </si>
  <si>
    <t>Armed Forces Day 2018</t>
  </si>
  <si>
    <t>(TO BE FUNDED FROM GENERAL RESERVES)</t>
  </si>
  <si>
    <t>LESS</t>
  </si>
  <si>
    <t>PLUS</t>
  </si>
  <si>
    <t>Theatre Royal</t>
  </si>
  <si>
    <t>Includes West Suffolk College Prize Award £200</t>
  </si>
  <si>
    <t>Last Year (to 31.03.18)</t>
  </si>
  <si>
    <t>Current Year (to 31 March 2019)</t>
  </si>
  <si>
    <t>Next Year (01.04.19)</t>
  </si>
  <si>
    <t>Actual to Oct  18</t>
  </si>
  <si>
    <t>Actual to Oct 18</t>
  </si>
  <si>
    <t>GDPR compliance</t>
  </si>
  <si>
    <t>Tourism (Dest. Mgmt. Organ.)</t>
  </si>
  <si>
    <t>Locality budget unspent</t>
  </si>
  <si>
    <t>0% INCREASE ON BAND D £33.30 (Provisional 2019/20 tax base 13,163.40)</t>
  </si>
  <si>
    <t>RESERVES</t>
  </si>
  <si>
    <t>Balances carried forward at 31st March 2018</t>
  </si>
  <si>
    <t>Projected surplus for current (2018/19) year</t>
  </si>
  <si>
    <t>Two fully-funded PCSOs per Service Level Agreement effective from 01 January 2019 until 31st December 2020.  Annual cost of one PCSO is £34,000 (payable in advance in 2 equal instalments)</t>
  </si>
  <si>
    <t>Police Community Support Offic</t>
  </si>
  <si>
    <t>Assume fully spent</t>
  </si>
  <si>
    <t>2019/20 25% of gross salary</t>
  </si>
  <si>
    <t>Noticeboard repair outstanding</t>
  </si>
  <si>
    <t>AGREEMENT WAS £20,000 PER YEAR FOR THREE YEARS - final payment due 2019/20</t>
  </si>
  <si>
    <t>Routine maintenance (grass cutting, hedge cutting); water charges; annual cost of land leased from SEBC at Cotton Lane site; emergency repairs</t>
  </si>
  <si>
    <t>Change to a single grant funding pot</t>
  </si>
  <si>
    <r>
      <t>£20,000 awarded for the 200</t>
    </r>
    <r>
      <rPr>
        <vertAlign val="superscript"/>
        <sz val="12"/>
        <rFont val="Tahoma"/>
        <family val="2"/>
      </rPr>
      <t>th</t>
    </r>
    <r>
      <rPr>
        <sz val="12"/>
        <rFont val="Tahoma"/>
        <family val="2"/>
      </rPr>
      <t xml:space="preserve"> anniversary project in the financial year 2019/2020</t>
    </r>
  </si>
  <si>
    <t>Budgeted deficit for next year (2019/20) year</t>
  </si>
  <si>
    <t>PROJECTED UNRESTRICTED GENERAL RESERVES as at 31 March 2019</t>
  </si>
  <si>
    <t>Protected/restricted reserves (see separate sheet)</t>
  </si>
  <si>
    <t>Agency/Temporary Staff</t>
  </si>
  <si>
    <t>Recruitment Advertising</t>
  </si>
  <si>
    <t>Rent review on 10th anniversary i.e. 18 December 2019/office move</t>
  </si>
  <si>
    <t>Clerk/Asst. Clerk membership of SLCC</t>
  </si>
  <si>
    <t xml:space="preserve">Abbeygate Street/Railway Station hanging baskets </t>
  </si>
  <si>
    <t>2nd year funding (potential significant carry forward of unspent budget from 2018/19 financial year, subject to approval by Council)</t>
  </si>
  <si>
    <t>Heating, lighting, water and all services provided under the terms of the lease N.B. Awaiting September 2018 reconciliation</t>
  </si>
  <si>
    <t>Uplift for new copier lease costs</t>
  </si>
  <si>
    <t>Including cost of possible office move</t>
  </si>
  <si>
    <t>Includes Buildings insurance payable to Landlord</t>
  </si>
  <si>
    <t>IT/phone services and call costs; Website hosting</t>
  </si>
  <si>
    <t>Includes provision for synchronisation with new pay scales applicable from 01 April 2019</t>
  </si>
  <si>
    <t>Financial software and support; Office 365 licences x4</t>
  </si>
  <si>
    <t>DPO Service renewal</t>
  </si>
  <si>
    <t>SALC subscription; Data Protection fee</t>
  </si>
  <si>
    <t>Pavements &amp; Public Spaces</t>
  </si>
  <si>
    <t>Not claimed therefore regarded as unspent</t>
  </si>
  <si>
    <t>Weekly emptying of litter bins and dog bin plus provision for new</t>
  </si>
  <si>
    <t>New/replacement bins; Cost of filling bins on unadopted roads</t>
  </si>
  <si>
    <t>Poppy wreaths; Uplift to cover potential higher costs of sound system</t>
  </si>
  <si>
    <t>Armistice Day</t>
  </si>
  <si>
    <t>Annual cleaning prior to Armistice/Remembrance Day services</t>
  </si>
  <si>
    <t>Bury St Edmunds Town Council Budget 2019-2020 draft v2</t>
  </si>
  <si>
    <t>Assumes eligibility for Small Business Rates relief on office premises.  Rates payable in respect of car parking space.  Levy payable in respect of voluntary membership of BID.</t>
  </si>
  <si>
    <t>Ordinary elections May 2019.  Estimated costs based on all wards being contested at both Town and District levels (therefore all costs shared with District Council)</t>
  </si>
  <si>
    <t>Armistice Day Commemoration</t>
  </si>
  <si>
    <t>Insurance valuations Civic Reg</t>
  </si>
  <si>
    <t>Office Relocation expenses</t>
  </si>
  <si>
    <t>Section 137</t>
  </si>
  <si>
    <t>Mayoral/Civic Events</t>
  </si>
  <si>
    <t>Grant Funding</t>
  </si>
  <si>
    <t>Abbey Millennium Celebrations</t>
  </si>
  <si>
    <t>AMOUNT</t>
  </si>
  <si>
    <t>Office redecoration (per lease)</t>
  </si>
  <si>
    <t>TOTAL EAR MARKED RESERVES</t>
  </si>
  <si>
    <t>TOTAL PROTECTED/RESTRICTED RESERVES</t>
  </si>
  <si>
    <t>Uplift for new copier lease costs; office furniture</t>
  </si>
  <si>
    <t>Increased by 2% in anticipation of an agreed pay increase</t>
  </si>
  <si>
    <t>SURPLUS/DEFICIT FOR YEAR</t>
  </si>
  <si>
    <t>GENERAL RESERVE</t>
  </si>
  <si>
    <t>Christmas Fayre entertainment</t>
  </si>
  <si>
    <t>AMOUNT BY WHICH EXPENDITURE EXCEEDS INCOME</t>
  </si>
  <si>
    <t>Used for grants and other expenditure where no other power exists.   Also see 4353 and 4351</t>
  </si>
  <si>
    <t xml:space="preserve"> 24% of gross salary</t>
  </si>
  <si>
    <t>Please see 'Tax base – Explanatory Note to Town and Parish Councils' for a detailed explanation of the tax base.</t>
  </si>
  <si>
    <t>BAND D</t>
  </si>
  <si>
    <t>BAND D ANNUAL</t>
  </si>
  <si>
    <t>PRECEPT</t>
  </si>
  <si>
    <t>FINANCIAL YEAR</t>
  </si>
  <si>
    <t>TAX BASE</t>
  </si>
  <si>
    <t>ANNUAL</t>
  </si>
  <si>
    <t>ANNUAL/9</t>
  </si>
  <si>
    <t>DIVIDED BY 10</t>
  </si>
  <si>
    <t>2016-2017</t>
  </si>
  <si>
    <t>2017-2018</t>
  </si>
  <si>
    <t>2018-2019</t>
  </si>
  <si>
    <t>2019/2020</t>
  </si>
  <si>
    <t>2020/2021</t>
  </si>
  <si>
    <t>Balances carried forward at 31st March 2019 (per the Annual Return)</t>
  </si>
  <si>
    <t>LESS Protected/restricted reserves (see separate worksheet)</t>
  </si>
  <si>
    <t>2019/20 EXPENDITURE</t>
  </si>
  <si>
    <t>2019/20 INCOME</t>
  </si>
  <si>
    <t>2020/21 EXPENDITURE</t>
  </si>
  <si>
    <t>2020/21 INCOME</t>
  </si>
  <si>
    <t>Grants Received - Other</t>
  </si>
  <si>
    <t>Other Income</t>
  </si>
  <si>
    <t>Last Year (to 31.03.20)</t>
  </si>
  <si>
    <t>Current Year (to 31 March 2021)</t>
  </si>
  <si>
    <t>Next Year (01.04.21)</t>
  </si>
  <si>
    <t>Assumes eligibility for Small Business Rates relief on office premises. Levy payable in respect of voluntary membership of BID £200.</t>
  </si>
  <si>
    <t>IT/phone services (£4,617.97) and call costs £30; Website hosting £60.</t>
  </si>
  <si>
    <t>Based on income or expenditure band £500,001 - £750,000</t>
  </si>
  <si>
    <t>Office 365 licences x10 (3 staff and 7 single hatted councillors) = £1,525.60; Financial software and support £260.</t>
  </si>
  <si>
    <t>Election expenses</t>
  </si>
  <si>
    <t>(St Olaves postponed election costs included as new ear marked reserve)</t>
  </si>
  <si>
    <t>Two fully-funded PCSOs per Service Level Agreement effective from 01 January 2021 until 31st December 2022.  Annual cost of one PCSO is £36,000 (payable in advance in 2 equal instalments). Increase of 2% added to reflect anticipated pay increase.</t>
  </si>
  <si>
    <t>SALC subscription (SALC element increased by 3%); Data Protection fee (£35)</t>
  </si>
  <si>
    <t>Heating, lighting, water, cleaning and all services provided under the terms of the lease</t>
  </si>
  <si>
    <t>Comm &amp; Environ Regeneration Fund</t>
  </si>
  <si>
    <t>Annual cleaning; Boer War memorial repair - traffic control measures for repairs</t>
  </si>
  <si>
    <t>2021/2022</t>
  </si>
  <si>
    <t>Rent increase to £10.00 per rod from 01.04.21</t>
  </si>
  <si>
    <t>Disabled ramp and other 'on-costs'</t>
  </si>
  <si>
    <t>Includes Community Awards and West Suffolk College Prize Award (£200)</t>
  </si>
  <si>
    <t>Routine maintenance (grass cutting, hedge cutting); water charges; £911 annual cost of land leased from WSC at Cotton Lane site; emergency repairs</t>
  </si>
  <si>
    <t>% increase/decrease</t>
  </si>
  <si>
    <t>Agreement increased to £35,000 per year for 2 years - 2021/22 and 2022/23 (BSETC/57/25/Sept/19 amended by BSETC/201/25/Nov/20)</t>
  </si>
  <si>
    <t>Increased by £1,000 to £3,500 per Councillor for this year only (BSETC/202/25/Nov/20</t>
  </si>
  <si>
    <t>GENERAL RESERVE AS AT 31 MARCH 2022</t>
  </si>
  <si>
    <t>GENERAL RESERVE AS AT 31 MARCH 2021</t>
  </si>
  <si>
    <t xml:space="preserve">2021/2022 </t>
  </si>
  <si>
    <t>LESS PROTECTED/RESTRICTED RESERVES (SEE RESERVES WORKSHEET)</t>
  </si>
  <si>
    <t>Invoiced by landlord so included in service charge budget line</t>
  </si>
  <si>
    <t>(N.B. -£32,650 in the year to date figure for the current financial year relates to the Whiting Street repairs approved in 2019 which have not been completed yet)</t>
  </si>
  <si>
    <r>
      <t xml:space="preserve">NO INCREASE OR DECREASE ON BAND D £42.30 </t>
    </r>
    <r>
      <rPr>
        <sz val="12"/>
        <rFont val="Tahoma"/>
        <family val="2"/>
      </rPr>
      <t>(2021/22 tax base has gone down to 13,255.21)</t>
    </r>
  </si>
  <si>
    <t>Bury St Edmunds Town Council Draft Budget 2021-2022 v.3</t>
  </si>
  <si>
    <t>Local Council Tax Support Grant</t>
  </si>
  <si>
    <t>Precept form category</t>
  </si>
  <si>
    <t>Precept form fill</t>
  </si>
  <si>
    <t>Expenditure</t>
  </si>
  <si>
    <t>Income</t>
  </si>
  <si>
    <t>Administration</t>
  </si>
  <si>
    <t>Civic Costs</t>
  </si>
  <si>
    <t>Community Events</t>
  </si>
  <si>
    <t>General Services</t>
  </si>
  <si>
    <t>Grants to Other Bodies</t>
  </si>
  <si>
    <t>Other expenses</t>
  </si>
  <si>
    <t>Transfer to from Reserves</t>
  </si>
  <si>
    <t>Compensatory grant due to reduction in Tax base due to Coronavirus pandemic</t>
  </si>
  <si>
    <t>Local Count Tax Support Grant</t>
  </si>
  <si>
    <t>Actual to 31 December  2020 (Mth 9)</t>
  </si>
  <si>
    <t>Christmas shopping initiative</t>
  </si>
  <si>
    <t>Last Year (to 31.03.21)</t>
  </si>
  <si>
    <t>Current Year (to 31 March 2022)</t>
  </si>
  <si>
    <t>Next Year (01.04.22)</t>
  </si>
  <si>
    <t>LCTS Compensation Grant</t>
  </si>
  <si>
    <t>Meeting Room Hire</t>
  </si>
  <si>
    <t>2022/2023</t>
  </si>
  <si>
    <r>
      <t xml:space="preserve">MINIMUM PROTECTED GENERAL RESERVE                             </t>
    </r>
    <r>
      <rPr>
        <sz val="12"/>
        <rFont val="Tahoma"/>
        <family val="2"/>
      </rPr>
      <t>(the level set by Council, below which reserves will not be allowed to drop except in extreme emergency)</t>
    </r>
  </si>
  <si>
    <r>
      <t>EAR MARKED RESERVES</t>
    </r>
    <r>
      <rPr>
        <sz val="12"/>
        <rFont val="Tahoma"/>
        <family val="2"/>
      </rPr>
      <t xml:space="preserve">                                        (amounts of money that are set aside for specific items of expenditure to meet known or predicted liabilities or projects)</t>
    </r>
  </si>
  <si>
    <t xml:space="preserve"> 23% of gross salary</t>
  </si>
  <si>
    <t>£150 per month (fixed amount)</t>
  </si>
  <si>
    <t>SALC subscription; Data Protection fee (£35)</t>
  </si>
  <si>
    <t>Rent increase to £10.20 per rod from 01.04.22</t>
  </si>
  <si>
    <t>Office 365 licences x11 (excludes dual-hatted Councillors); Financial software and support £270.</t>
  </si>
  <si>
    <t>IT Service Level Agreement cost (excludes dual-hatted Councillors) plus phone services and call costs £30; Website hosting £60.</t>
  </si>
  <si>
    <t>Assumes eligibility for Small Business Rates relief on ground floor office premises; Levy payable in respect of voluntary membership of BID £200.</t>
  </si>
  <si>
    <t>(St Olaves May 2021 election costs spend from ear marked reserve)</t>
  </si>
  <si>
    <t>PA system, wreaths, refreshments,vehicle removal costs</t>
  </si>
  <si>
    <r>
      <t xml:space="preserve">NO INCREASE OR DECREASE ON BAND D £42.30 </t>
    </r>
    <r>
      <rPr>
        <sz val="12"/>
        <rFont val="Tahoma"/>
        <family val="2"/>
      </rPr>
      <t>(2021/22 tax base has gone up by 455.74 to 13,710.95)</t>
    </r>
  </si>
  <si>
    <t xml:space="preserve">2022/2023 </t>
  </si>
  <si>
    <t>GENERAL RESERVE AS AT 31 MARCH 2023</t>
  </si>
  <si>
    <t>NOTES</t>
  </si>
  <si>
    <t>PRECEPT OPTIONS 2022-2023</t>
  </si>
  <si>
    <t>Allowance - Chairman/Town Mayor</t>
  </si>
  <si>
    <t>New copier lease costs; Colour printer</t>
  </si>
  <si>
    <t>Erection of Coat of Arms</t>
  </si>
  <si>
    <t>Photocopying costs</t>
  </si>
  <si>
    <t>Based on #electors in ward*£1.50)/#members in ward (in the year that Ordinary elections take place i.e. once every 4 years)</t>
  </si>
  <si>
    <t>Cleaning; Boer War memorial repair - traffic control measures for repairs</t>
  </si>
  <si>
    <t>Agreed Full Town Council 24/11/21</t>
  </si>
  <si>
    <t>Increase approved Full Town Council 24/11/21</t>
  </si>
  <si>
    <r>
      <t>Agency/Temp</t>
    </r>
    <r>
      <rPr>
        <sz val="12"/>
        <color rgb="FFFF0000"/>
        <rFont val="Tahoma"/>
        <family val="2"/>
      </rPr>
      <t>/Consultancy</t>
    </r>
  </si>
  <si>
    <t>Includes the additional 1.25% employers NIC</t>
  </si>
  <si>
    <r>
      <rPr>
        <b/>
        <sz val="18"/>
        <rFont val="Tahoma"/>
        <family val="2"/>
      </rPr>
      <t>31st March 2021</t>
    </r>
    <r>
      <rPr>
        <sz val="12"/>
        <rFont val="Tahoma"/>
        <family val="2"/>
      </rPr>
      <t xml:space="preserve"> (</t>
    </r>
    <r>
      <rPr>
        <sz val="16"/>
        <rFont val="Tahoma"/>
        <family val="2"/>
      </rPr>
      <t>BALANCES CARRIED FORWARD per the Annual Return)</t>
    </r>
  </si>
  <si>
    <t>Shown below are example precept options for the 2022/2023 budget. The provisional tax base for 2022-2023</t>
  </si>
  <si>
    <t>has been used in the calculations below (the final tax base will not be known until late 2021 or early 2022).</t>
  </si>
  <si>
    <t>1. You can continue to deduct £0.90 each time from the 'Band D Annual' amount until you get to £0</t>
  </si>
  <si>
    <t>Actual to December 2021 (Mth 9)</t>
  </si>
  <si>
    <t>Bury St Edmunds Town Council Budget 2022-2023 v.4</t>
  </si>
  <si>
    <t>EXPENDITURE (SEE CELL REF. G52)</t>
  </si>
  <si>
    <t>INCOME (SEE CELL REF. G63)</t>
  </si>
  <si>
    <t>EXPENDITURE (SEE CELL REF. H52)</t>
  </si>
  <si>
    <t>INCOME (SEE CELL REF. H63)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</si>
</sst>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_-&quot;£&quot;* #,##0_-;\-&quot;£&quot;* #,##0_-;_-&quot;£&quot;* &quot;-&quot;??_-;_-@_-"/>
    <numFmt numFmtId="167" formatCode="0.0%"/>
    <numFmt numFmtId="168" formatCode="&quot;£&quot;* #,##0_);[Red]&quot;£&quot;* \-#,##0_);&quot;£&quot;* &quot;-&quot;_)"/>
  </numFmts>
  <fonts count="63" x14ac:knownFonts="1">
    <font>
      <sz val="9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0"/>
      <name val="Arial"/>
      <family val="2"/>
    </font>
    <font>
      <sz val="11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/>
      <sz val="10"/>
      <color theme="10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rgb="FFFF0000"/>
      <name val="Tahoma"/>
      <family val="2"/>
    </font>
    <font>
      <b/>
      <u/>
      <sz val="12"/>
      <color rgb="FFFF0000"/>
      <name val="Tahoma"/>
      <family val="2"/>
    </font>
    <font>
      <b/>
      <sz val="12"/>
      <color rgb="FFFF0000"/>
      <name val="Tahoma"/>
      <family val="2"/>
    </font>
    <font>
      <u/>
      <sz val="22"/>
      <name val="Tahoma"/>
      <family val="2"/>
    </font>
    <font>
      <u/>
      <sz val="20"/>
      <name val="Tahoma"/>
      <family val="2"/>
    </font>
    <font>
      <sz val="12"/>
      <color theme="1"/>
      <name val="Tahoma"/>
      <family val="2"/>
    </font>
    <font>
      <b/>
      <u/>
      <sz val="14"/>
      <name val="Tahoma"/>
      <family val="2"/>
    </font>
    <font>
      <vertAlign val="superscript"/>
      <sz val="12"/>
      <name val="Tahoma"/>
      <family val="2"/>
    </font>
    <font>
      <sz val="12"/>
      <color indexed="81"/>
      <name val="Tahoma"/>
      <family val="2"/>
    </font>
    <font>
      <b/>
      <sz val="14"/>
      <color rgb="FFFF0000"/>
      <name val="Tahoma"/>
      <family val="2"/>
    </font>
    <font>
      <b/>
      <sz val="9"/>
      <color rgb="FFFF0000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  <font>
      <u/>
      <sz val="12"/>
      <name val="Tahoma"/>
      <family val="2"/>
    </font>
    <font>
      <sz val="12"/>
      <color indexed="8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color rgb="FFFF0000"/>
      <name val="Tahoma"/>
      <family val="2"/>
    </font>
    <font>
      <sz val="10.5"/>
      <name val="Verdana"/>
      <family val="2"/>
    </font>
    <font>
      <b/>
      <sz val="20"/>
      <name val="Tahoma"/>
      <family val="2"/>
    </font>
    <font>
      <b/>
      <sz val="24"/>
      <name val="Tahoma"/>
      <family val="2"/>
    </font>
    <font>
      <sz val="16"/>
      <name val="Tahoma"/>
      <family val="2"/>
    </font>
    <font>
      <sz val="20"/>
      <name val="Tahoma"/>
      <family val="2"/>
    </font>
    <font>
      <b/>
      <u/>
      <sz val="12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4" borderId="1" applyNumberFormat="0" applyAlignment="0" applyProtection="0"/>
    <xf numFmtId="0" fontId="9" fillId="13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1" fillId="0" borderId="0"/>
    <xf numFmtId="0" fontId="20" fillId="0" borderId="0"/>
    <xf numFmtId="0" fontId="11" fillId="0" borderId="0"/>
    <xf numFmtId="0" fontId="31" fillId="0" borderId="0"/>
    <xf numFmtId="0" fontId="4" fillId="5" borderId="7" applyNumberFormat="0" applyFont="0" applyAlignment="0" applyProtection="0"/>
    <xf numFmtId="0" fontId="21" fillId="4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3" fillId="0" borderId="0"/>
    <xf numFmtId="0" fontId="36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95">
    <xf numFmtId="0" fontId="0" fillId="0" borderId="0" xfId="0" applyAlignment="1" applyProtection="1">
      <alignment horizontal="left" vertical="top"/>
      <protection locked="0"/>
    </xf>
    <xf numFmtId="3" fontId="37" fillId="0" borderId="0" xfId="0" applyNumberFormat="1" applyFont="1" applyAlignment="1">
      <alignment horizontal="right" vertical="center"/>
    </xf>
    <xf numFmtId="3" fontId="38" fillId="0" borderId="0" xfId="0" applyNumberFormat="1" applyFont="1" applyFill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64" fontId="39" fillId="0" borderId="0" xfId="0" applyNumberFormat="1" applyFont="1" applyFill="1" applyAlignment="1">
      <alignment horizontal="right" vertical="center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center" vertical="center" wrapText="1"/>
    </xf>
    <xf numFmtId="3" fontId="37" fillId="0" borderId="10" xfId="0" applyNumberFormat="1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 applyProtection="1">
      <alignment horizontal="left" vertical="center"/>
      <protection locked="0"/>
    </xf>
    <xf numFmtId="1" fontId="37" fillId="0" borderId="0" xfId="0" applyNumberFormat="1" applyFont="1" applyAlignment="1" applyProtection="1">
      <alignment horizontal="left" vertical="center"/>
      <protection locked="0"/>
    </xf>
    <xf numFmtId="5" fontId="29" fillId="0" borderId="16" xfId="0" applyNumberFormat="1" applyFont="1" applyBorder="1" applyAlignment="1" applyProtection="1">
      <alignment horizontal="right" vertical="center"/>
    </xf>
    <xf numFmtId="3" fontId="37" fillId="0" borderId="0" xfId="0" applyNumberFormat="1" applyFont="1" applyBorder="1" applyAlignment="1">
      <alignment vertical="center" wrapText="1" shrinkToFit="1"/>
    </xf>
    <xf numFmtId="5" fontId="37" fillId="0" borderId="0" xfId="0" applyNumberFormat="1" applyFont="1" applyBorder="1" applyAlignment="1" applyProtection="1">
      <alignment horizontal="right" vertical="center"/>
    </xf>
    <xf numFmtId="0" fontId="37" fillId="0" borderId="0" xfId="0" applyFont="1" applyBorder="1" applyAlignment="1" applyProtection="1">
      <alignment horizontal="left" vertical="center"/>
      <protection locked="0"/>
    </xf>
    <xf numFmtId="3" fontId="37" fillId="0" borderId="0" xfId="0" applyNumberFormat="1" applyFont="1" applyBorder="1" applyAlignment="1" applyProtection="1">
      <alignment horizontal="right" vertical="center"/>
    </xf>
    <xf numFmtId="3" fontId="37" fillId="0" borderId="0" xfId="0" applyNumberFormat="1" applyFont="1" applyFill="1" applyBorder="1" applyAlignment="1" applyProtection="1">
      <alignment horizontal="right" vertical="center"/>
      <protection locked="0"/>
    </xf>
    <xf numFmtId="3" fontId="37" fillId="0" borderId="0" xfId="0" applyNumberFormat="1" applyFont="1" applyBorder="1" applyAlignment="1" applyProtection="1">
      <alignment horizontal="right" vertical="center"/>
      <protection locked="0"/>
    </xf>
    <xf numFmtId="0" fontId="37" fillId="0" borderId="0" xfId="0" applyFont="1" applyFill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Alignment="1">
      <alignment horizontal="right" vertical="center"/>
    </xf>
    <xf numFmtId="3" fontId="37" fillId="0" borderId="0" xfId="0" applyNumberFormat="1" applyFont="1" applyAlignment="1">
      <alignment vertical="center"/>
    </xf>
    <xf numFmtId="3" fontId="37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65" fontId="37" fillId="0" borderId="0" xfId="30" applyNumberFormat="1" applyFont="1" applyBorder="1" applyAlignment="1" applyProtection="1">
      <alignment horizontal="right" vertical="top"/>
    </xf>
    <xf numFmtId="0" fontId="37" fillId="0" borderId="0" xfId="0" applyFont="1" applyBorder="1" applyAlignment="1" applyProtection="1">
      <alignment horizontal="left" vertical="top"/>
      <protection locked="0"/>
    </xf>
    <xf numFmtId="164" fontId="37" fillId="0" borderId="0" xfId="30" applyNumberFormat="1" applyFont="1" applyBorder="1" applyAlignment="1" applyProtection="1">
      <alignment horizontal="left" vertical="top"/>
      <protection locked="0"/>
    </xf>
    <xf numFmtId="164" fontId="28" fillId="0" borderId="10" xfId="0" applyNumberFormat="1" applyFont="1" applyBorder="1" applyAlignment="1" applyProtection="1">
      <alignment horizontal="right" vertical="center"/>
    </xf>
    <xf numFmtId="3" fontId="28" fillId="0" borderId="10" xfId="0" applyNumberFormat="1" applyFont="1" applyBorder="1" applyAlignment="1">
      <alignment vertical="center" wrapText="1" shrinkToFit="1"/>
    </xf>
    <xf numFmtId="0" fontId="4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164" fontId="29" fillId="17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5" fontId="28" fillId="0" borderId="10" xfId="0" applyNumberFormat="1" applyFont="1" applyBorder="1" applyAlignment="1" applyProtection="1">
      <alignment horizontal="right" vertical="center"/>
    </xf>
    <xf numFmtId="164" fontId="29" fillId="0" borderId="0" xfId="0" applyNumberFormat="1" applyFont="1" applyFill="1" applyAlignment="1">
      <alignment horizontal="right" vertical="center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5" fontId="29" fillId="0" borderId="11" xfId="0" applyNumberFormat="1" applyFont="1" applyBorder="1" applyAlignment="1" applyProtection="1">
      <alignment horizontal="right" vertical="center"/>
    </xf>
    <xf numFmtId="0" fontId="29" fillId="0" borderId="0" xfId="0" applyFont="1" applyFill="1" applyAlignment="1">
      <alignment vertical="center"/>
    </xf>
    <xf numFmtId="3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>
      <alignment vertical="center"/>
    </xf>
    <xf numFmtId="0" fontId="28" fillId="0" borderId="17" xfId="0" applyFont="1" applyBorder="1" applyAlignment="1">
      <alignment horizontal="left" vertical="center" wrapText="1"/>
    </xf>
    <xf numFmtId="164" fontId="42" fillId="0" borderId="10" xfId="0" applyNumberFormat="1" applyFont="1" applyBorder="1" applyAlignment="1" applyProtection="1">
      <alignment vertical="center"/>
      <protection locked="0"/>
    </xf>
    <xf numFmtId="164" fontId="42" fillId="0" borderId="10" xfId="59" applyNumberFormat="1" applyFont="1" applyBorder="1" applyAlignment="1">
      <alignment vertical="center"/>
    </xf>
    <xf numFmtId="164" fontId="28" fillId="0" borderId="10" xfId="0" applyNumberFormat="1" applyFont="1" applyBorder="1" applyAlignment="1" applyProtection="1">
      <alignment vertical="center"/>
    </xf>
    <xf numFmtId="6" fontId="28" fillId="0" borderId="10" xfId="0" applyNumberFormat="1" applyFont="1" applyBorder="1" applyAlignment="1">
      <alignment vertical="center" wrapText="1"/>
    </xf>
    <xf numFmtId="164" fontId="28" fillId="0" borderId="10" xfId="0" applyNumberFormat="1" applyFont="1" applyBorder="1" applyAlignment="1" applyProtection="1">
      <alignment vertical="center"/>
      <protection locked="0"/>
    </xf>
    <xf numFmtId="164" fontId="28" fillId="0" borderId="10" xfId="59" applyNumberFormat="1" applyFont="1" applyBorder="1" applyAlignment="1">
      <alignment vertical="center"/>
    </xf>
    <xf numFmtId="164" fontId="42" fillId="0" borderId="10" xfId="0" applyNumberFormat="1" applyFont="1" applyFill="1" applyBorder="1" applyAlignment="1" applyProtection="1">
      <alignment vertical="center"/>
      <protection locked="0"/>
    </xf>
    <xf numFmtId="164" fontId="28" fillId="0" borderId="10" xfId="0" applyNumberFormat="1" applyFont="1" applyFill="1" applyBorder="1" applyAlignment="1" applyProtection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Protection="1">
      <protection locked="0"/>
    </xf>
    <xf numFmtId="0" fontId="28" fillId="0" borderId="10" xfId="0" applyFont="1" applyBorder="1" applyAlignment="1" applyProtection="1">
      <alignment vertical="center"/>
      <protection locked="0"/>
    </xf>
    <xf numFmtId="5" fontId="29" fillId="0" borderId="11" xfId="0" applyNumberFormat="1" applyFont="1" applyFill="1" applyBorder="1" applyAlignment="1" applyProtection="1">
      <alignment horizontal="right" vertical="center"/>
    </xf>
    <xf numFmtId="164" fontId="39" fillId="0" borderId="0" xfId="0" applyNumberFormat="1" applyFont="1" applyBorder="1" applyAlignment="1">
      <alignment vertical="center"/>
    </xf>
    <xf numFmtId="0" fontId="29" fillId="0" borderId="0" xfId="0" applyFont="1" applyAlignment="1" applyProtection="1">
      <alignment horizontal="left" vertical="center"/>
      <protection locked="0"/>
    </xf>
    <xf numFmtId="7" fontId="28" fillId="0" borderId="10" xfId="0" applyNumberFormat="1" applyFont="1" applyBorder="1" applyAlignment="1" applyProtection="1">
      <alignment horizontal="right"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164" fontId="29" fillId="17" borderId="12" xfId="0" applyNumberFormat="1" applyFont="1" applyFill="1" applyBorder="1" applyAlignment="1">
      <alignment horizontal="right" vertical="center"/>
    </xf>
    <xf numFmtId="0" fontId="37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right" vertical="center"/>
      <protection locked="0"/>
    </xf>
    <xf numFmtId="5" fontId="37" fillId="0" borderId="10" xfId="0" applyNumberFormat="1" applyFont="1" applyBorder="1" applyAlignment="1" applyProtection="1">
      <alignment horizontal="right" vertical="center"/>
    </xf>
    <xf numFmtId="3" fontId="37" fillId="0" borderId="10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 wrapText="1" shrinkToFit="1"/>
    </xf>
    <xf numFmtId="3" fontId="37" fillId="0" borderId="10" xfId="0" applyNumberFormat="1" applyFont="1" applyBorder="1" applyAlignment="1">
      <alignment vertical="center" shrinkToFit="1"/>
    </xf>
    <xf numFmtId="0" fontId="37" fillId="0" borderId="0" xfId="0" applyFont="1" applyFill="1" applyBorder="1" applyAlignment="1">
      <alignment horizontal="left" vertical="center"/>
    </xf>
    <xf numFmtId="164" fontId="39" fillId="0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44" fontId="46" fillId="0" borderId="10" xfId="58" applyNumberFormat="1" applyFont="1" applyBorder="1" applyAlignment="1">
      <alignment horizontal="right" vertical="center" wrapText="1" shrinkToFit="1"/>
    </xf>
    <xf numFmtId="164" fontId="47" fillId="0" borderId="12" xfId="61" applyNumberFormat="1" applyFont="1" applyBorder="1" applyAlignment="1" applyProtection="1">
      <alignment horizontal="right" vertical="top"/>
      <protection locked="0"/>
    </xf>
    <xf numFmtId="0" fontId="48" fillId="0" borderId="0" xfId="58" applyFont="1"/>
    <xf numFmtId="0" fontId="49" fillId="0" borderId="0" xfId="61" applyFont="1" applyAlignment="1" applyProtection="1">
      <alignment horizontal="left" vertical="top"/>
      <protection locked="0"/>
    </xf>
    <xf numFmtId="164" fontId="49" fillId="0" borderId="0" xfId="61" applyNumberFormat="1" applyFont="1" applyAlignment="1" applyProtection="1">
      <alignment horizontal="right" vertical="top"/>
      <protection locked="0"/>
    </xf>
    <xf numFmtId="0" fontId="49" fillId="0" borderId="0" xfId="61" applyFont="1" applyAlignment="1" applyProtection="1">
      <alignment horizontal="right" vertical="top"/>
      <protection locked="0"/>
    </xf>
    <xf numFmtId="164" fontId="49" fillId="0" borderId="12" xfId="61" applyNumberFormat="1" applyFont="1" applyBorder="1" applyAlignment="1" applyProtection="1">
      <alignment horizontal="right" vertical="top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left" vertical="center"/>
    </xf>
    <xf numFmtId="1" fontId="37" fillId="0" borderId="10" xfId="0" applyNumberFormat="1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left" vertical="center"/>
    </xf>
    <xf numFmtId="0" fontId="51" fillId="0" borderId="10" xfId="0" applyFont="1" applyBorder="1"/>
    <xf numFmtId="164" fontId="51" fillId="0" borderId="10" xfId="0" applyNumberFormat="1" applyFont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164" fontId="29" fillId="0" borderId="0" xfId="0" applyNumberFormat="1" applyFont="1" applyFill="1" applyBorder="1" applyAlignment="1">
      <alignment horizontal="right" vertical="center"/>
    </xf>
    <xf numFmtId="164" fontId="28" fillId="0" borderId="10" xfId="0" applyNumberFormat="1" applyFont="1" applyBorder="1" applyAlignment="1">
      <alignment vertical="center" wrapText="1"/>
    </xf>
    <xf numFmtId="5" fontId="28" fillId="0" borderId="15" xfId="0" applyNumberFormat="1" applyFont="1" applyBorder="1" applyAlignment="1" applyProtection="1">
      <alignment horizontal="right" vertical="center"/>
    </xf>
    <xf numFmtId="164" fontId="28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/>
    </xf>
    <xf numFmtId="164" fontId="28" fillId="0" borderId="10" xfId="0" applyNumberFormat="1" applyFont="1" applyBorder="1" applyAlignment="1">
      <alignment horizontal="right" vertical="center"/>
    </xf>
    <xf numFmtId="164" fontId="28" fillId="0" borderId="15" xfId="0" applyNumberFormat="1" applyFont="1" applyBorder="1" applyAlignment="1">
      <alignment vertical="center"/>
    </xf>
    <xf numFmtId="5" fontId="28" fillId="0" borderId="15" xfId="0" applyNumberFormat="1" applyFont="1" applyBorder="1" applyAlignment="1" applyProtection="1">
      <alignment vertical="center"/>
    </xf>
    <xf numFmtId="0" fontId="51" fillId="0" borderId="10" xfId="0" applyFont="1" applyBorder="1" applyAlignment="1">
      <alignment horizontal="left" vertical="center" wrapText="1"/>
    </xf>
    <xf numFmtId="5" fontId="29" fillId="0" borderId="16" xfId="0" applyNumberFormat="1" applyFont="1" applyFill="1" applyBorder="1" applyAlignment="1" applyProtection="1">
      <alignment horizontal="right" vertical="center"/>
    </xf>
    <xf numFmtId="164" fontId="29" fillId="0" borderId="15" xfId="0" applyNumberFormat="1" applyFont="1" applyBorder="1" applyAlignment="1" applyProtection="1">
      <alignment horizontal="right" vertical="center"/>
    </xf>
    <xf numFmtId="3" fontId="29" fillId="0" borderId="10" xfId="0" applyNumberFormat="1" applyFont="1" applyBorder="1" applyAlignment="1">
      <alignment vertical="center" wrapText="1" shrinkToFit="1"/>
    </xf>
    <xf numFmtId="5" fontId="29" fillId="0" borderId="0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>
      <alignment vertical="center"/>
    </xf>
    <xf numFmtId="5" fontId="29" fillId="0" borderId="12" xfId="0" applyNumberFormat="1" applyFont="1" applyBorder="1" applyAlignment="1" applyProtection="1">
      <alignment horizontal="right" vertical="center"/>
    </xf>
    <xf numFmtId="0" fontId="37" fillId="21" borderId="0" xfId="0" applyFont="1" applyFill="1" applyBorder="1" applyAlignment="1" applyProtection="1">
      <alignment horizontal="left" vertical="center"/>
    </xf>
    <xf numFmtId="0" fontId="37" fillId="22" borderId="0" xfId="0" applyFont="1" applyFill="1" applyBorder="1" applyAlignment="1">
      <alignment vertical="center"/>
    </xf>
    <xf numFmtId="0" fontId="37" fillId="19" borderId="0" xfId="0" applyFont="1" applyFill="1" applyBorder="1" applyAlignment="1" applyProtection="1">
      <alignment horizontal="left" vertical="center"/>
      <protection locked="0"/>
    </xf>
    <xf numFmtId="0" fontId="37" fillId="23" borderId="0" xfId="0" applyFont="1" applyFill="1" applyBorder="1" applyAlignment="1" applyProtection="1">
      <alignment horizontal="left" vertical="center"/>
      <protection locked="0"/>
    </xf>
    <xf numFmtId="0" fontId="37" fillId="24" borderId="0" xfId="0" applyFont="1" applyFill="1" applyBorder="1" applyAlignment="1">
      <alignment vertical="center"/>
    </xf>
    <xf numFmtId="0" fontId="39" fillId="24" borderId="0" xfId="0" applyFont="1" applyFill="1" applyBorder="1" applyAlignment="1">
      <alignment vertical="center"/>
    </xf>
    <xf numFmtId="0" fontId="37" fillId="24" borderId="0" xfId="0" applyFont="1" applyFill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</xf>
    <xf numFmtId="5" fontId="56" fillId="0" borderId="0" xfId="0" applyNumberFormat="1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left" vertical="center"/>
      <protection locked="0"/>
    </xf>
    <xf numFmtId="0" fontId="28" fillId="0" borderId="0" xfId="58" applyFont="1"/>
    <xf numFmtId="0" fontId="53" fillId="0" borderId="0" xfId="58" applyFont="1"/>
    <xf numFmtId="0" fontId="54" fillId="0" borderId="0" xfId="58" applyFont="1"/>
    <xf numFmtId="0" fontId="53" fillId="19" borderId="10" xfId="58" applyFont="1" applyFill="1" applyBorder="1" applyAlignment="1">
      <alignment horizontal="center"/>
    </xf>
    <xf numFmtId="4" fontId="53" fillId="19" borderId="10" xfId="58" applyNumberFormat="1" applyFont="1" applyFill="1" applyBorder="1" applyAlignment="1">
      <alignment vertical="center" wrapText="1" shrinkToFit="1"/>
    </xf>
    <xf numFmtId="166" fontId="53" fillId="19" borderId="10" xfId="58" applyNumberFormat="1" applyFont="1" applyFill="1" applyBorder="1"/>
    <xf numFmtId="44" fontId="53" fillId="19" borderId="19" xfId="59" applyFont="1" applyFill="1" applyBorder="1"/>
    <xf numFmtId="44" fontId="53" fillId="19" borderId="10" xfId="58" applyNumberFormat="1" applyFont="1" applyFill="1" applyBorder="1"/>
    <xf numFmtId="44" fontId="53" fillId="19" borderId="10" xfId="59" applyFont="1" applyFill="1" applyBorder="1"/>
    <xf numFmtId="0" fontId="53" fillId="20" borderId="10" xfId="58" applyFont="1" applyFill="1" applyBorder="1" applyAlignment="1">
      <alignment horizontal="right"/>
    </xf>
    <xf numFmtId="167" fontId="53" fillId="19" borderId="10" xfId="60" applyNumberFormat="1" applyFont="1" applyFill="1" applyBorder="1"/>
    <xf numFmtId="4" fontId="53" fillId="19" borderId="10" xfId="58" applyNumberFormat="1" applyFont="1" applyFill="1" applyBorder="1"/>
    <xf numFmtId="44" fontId="53" fillId="19" borderId="10" xfId="58" applyNumberFormat="1" applyFont="1" applyFill="1" applyBorder="1" applyAlignment="1">
      <alignment horizontal="right" vertical="center" wrapText="1" shrinkToFit="1"/>
    </xf>
    <xf numFmtId="0" fontId="56" fillId="0" borderId="0" xfId="58" applyFont="1"/>
    <xf numFmtId="0" fontId="55" fillId="0" borderId="10" xfId="58" applyFont="1" applyFill="1" applyBorder="1"/>
    <xf numFmtId="166" fontId="46" fillId="0" borderId="10" xfId="58" applyNumberFormat="1" applyFont="1" applyFill="1" applyBorder="1"/>
    <xf numFmtId="44" fontId="46" fillId="0" borderId="10" xfId="59" applyFont="1" applyFill="1" applyBorder="1"/>
    <xf numFmtId="0" fontId="46" fillId="0" borderId="10" xfId="58" applyFont="1" applyFill="1" applyBorder="1"/>
    <xf numFmtId="44" fontId="46" fillId="0" borderId="10" xfId="58" applyNumberFormat="1" applyFont="1" applyFill="1" applyBorder="1" applyAlignment="1">
      <alignment horizontal="right" vertical="center" wrapText="1" shrinkToFit="1"/>
    </xf>
    <xf numFmtId="167" fontId="46" fillId="0" borderId="10" xfId="60" applyNumberFormat="1" applyFont="1" applyFill="1" applyBorder="1"/>
    <xf numFmtId="0" fontId="37" fillId="0" borderId="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 wrapText="1"/>
    </xf>
    <xf numFmtId="5" fontId="37" fillId="0" borderId="0" xfId="0" applyNumberFormat="1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>
      <alignment wrapText="1"/>
    </xf>
    <xf numFmtId="0" fontId="28" fillId="25" borderId="0" xfId="0" applyFont="1" applyFill="1" applyAlignment="1" applyProtection="1">
      <alignment horizontal="left" vertical="center"/>
      <protection locked="0"/>
    </xf>
    <xf numFmtId="5" fontId="28" fillId="0" borderId="10" xfId="0" applyNumberFormat="1" applyFont="1" applyBorder="1" applyAlignment="1" applyProtection="1">
      <alignment horizontal="left" vertical="center"/>
      <protection locked="0"/>
    </xf>
    <xf numFmtId="168" fontId="57" fillId="0" borderId="15" xfId="0" applyNumberFormat="1" applyFont="1" applyBorder="1" applyAlignment="1" applyProtection="1">
      <alignment vertical="center"/>
      <protection locked="0"/>
    </xf>
    <xf numFmtId="168" fontId="57" fillId="0" borderId="10" xfId="0" applyNumberFormat="1" applyFont="1" applyBorder="1" applyAlignment="1">
      <alignment vertical="center"/>
    </xf>
    <xf numFmtId="168" fontId="57" fillId="0" borderId="10" xfId="0" applyNumberFormat="1" applyFont="1" applyBorder="1" applyAlignment="1" applyProtection="1">
      <alignment vertical="center"/>
      <protection locked="0"/>
    </xf>
    <xf numFmtId="0" fontId="28" fillId="26" borderId="0" xfId="0" applyFont="1" applyFill="1" applyAlignment="1" applyProtection="1">
      <alignment horizontal="left" vertical="center"/>
      <protection locked="0"/>
    </xf>
    <xf numFmtId="0" fontId="28" fillId="19" borderId="0" xfId="0" applyFont="1" applyFill="1" applyAlignment="1" applyProtection="1">
      <alignment horizontal="left" vertical="center"/>
      <protection locked="0"/>
    </xf>
    <xf numFmtId="5" fontId="28" fillId="0" borderId="0" xfId="0" applyNumberFormat="1" applyFont="1" applyAlignment="1" applyProtection="1">
      <alignment horizontal="left" vertical="center"/>
      <protection locked="0"/>
    </xf>
    <xf numFmtId="0" fontId="28" fillId="27" borderId="0" xfId="0" applyFont="1" applyFill="1" applyAlignment="1" applyProtection="1">
      <alignment horizontal="left" vertical="center"/>
      <protection locked="0"/>
    </xf>
    <xf numFmtId="0" fontId="28" fillId="28" borderId="0" xfId="0" applyFont="1" applyFill="1" applyAlignment="1" applyProtection="1">
      <alignment horizontal="left" vertical="center"/>
      <protection locked="0"/>
    </xf>
    <xf numFmtId="0" fontId="28" fillId="29" borderId="0" xfId="0" applyFont="1" applyFill="1" applyAlignment="1" applyProtection="1">
      <alignment horizontal="left" vertical="center"/>
      <protection locked="0"/>
    </xf>
    <xf numFmtId="0" fontId="28" fillId="3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168" fontId="28" fillId="0" borderId="0" xfId="0" applyNumberFormat="1" applyFont="1" applyAlignment="1" applyProtection="1">
      <alignment horizontal="left" vertical="center"/>
      <protection locked="0"/>
    </xf>
    <xf numFmtId="0" fontId="37" fillId="0" borderId="19" xfId="0" applyFont="1" applyBorder="1" applyAlignment="1" applyProtection="1">
      <alignment horizontal="left" vertical="center"/>
      <protection locked="0"/>
    </xf>
    <xf numFmtId="5" fontId="29" fillId="0" borderId="19" xfId="0" applyNumberFormat="1" applyFont="1" applyBorder="1" applyAlignment="1" applyProtection="1">
      <alignment horizontal="right" vertical="center"/>
    </xf>
    <xf numFmtId="5" fontId="28" fillId="0" borderId="14" xfId="0" applyNumberFormat="1" applyFont="1" applyBorder="1" applyAlignment="1" applyProtection="1">
      <alignment horizontal="right" vertical="center"/>
    </xf>
    <xf numFmtId="0" fontId="28" fillId="0" borderId="14" xfId="0" applyFont="1" applyBorder="1" applyAlignment="1" applyProtection="1">
      <alignment horizontal="left" vertical="center"/>
      <protection locked="0"/>
    </xf>
    <xf numFmtId="164" fontId="28" fillId="0" borderId="0" xfId="0" applyNumberFormat="1" applyFont="1" applyAlignment="1" applyProtection="1">
      <alignment horizontal="left" vertical="center"/>
      <protection locked="0"/>
    </xf>
    <xf numFmtId="0" fontId="37" fillId="0" borderId="0" xfId="53" applyFont="1" applyAlignment="1" applyProtection="1">
      <alignment horizontal="left" vertical="top"/>
      <protection locked="0"/>
    </xf>
    <xf numFmtId="164" fontId="37" fillId="18" borderId="10" xfId="53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horizontal="right" vertical="center"/>
    </xf>
    <xf numFmtId="0" fontId="39" fillId="24" borderId="0" xfId="0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 vertical="center"/>
    </xf>
    <xf numFmtId="0" fontId="39" fillId="21" borderId="0" xfId="0" applyFont="1" applyFill="1" applyBorder="1" applyAlignment="1" applyProtection="1">
      <alignment vertical="center"/>
      <protection locked="0"/>
    </xf>
    <xf numFmtId="0" fontId="39" fillId="22" borderId="0" xfId="0" applyFont="1" applyFill="1" applyBorder="1" applyAlignment="1">
      <alignment vertical="center"/>
    </xf>
    <xf numFmtId="0" fontId="39" fillId="19" borderId="0" xfId="0" applyFont="1" applyFill="1" applyBorder="1" applyAlignment="1">
      <alignment vertical="center"/>
    </xf>
    <xf numFmtId="0" fontId="58" fillId="0" borderId="10" xfId="53" applyFont="1" applyBorder="1" applyAlignment="1" applyProtection="1">
      <alignment horizontal="left" vertical="center" wrapText="1"/>
      <protection locked="0"/>
    </xf>
    <xf numFmtId="0" fontId="29" fillId="0" borderId="10" xfId="53" applyFont="1" applyBorder="1" applyAlignment="1" applyProtection="1">
      <alignment horizontal="left" vertical="center" wrapText="1"/>
      <protection locked="0"/>
    </xf>
    <xf numFmtId="0" fontId="29" fillId="18" borderId="0" xfId="53" applyFont="1" applyFill="1" applyAlignment="1" applyProtection="1">
      <alignment horizontal="left" vertical="center"/>
      <protection locked="0"/>
    </xf>
    <xf numFmtId="0" fontId="28" fillId="0" borderId="10" xfId="53" applyFont="1" applyBorder="1" applyAlignment="1" applyProtection="1">
      <alignment horizontal="left" vertical="center"/>
      <protection locked="0"/>
    </xf>
    <xf numFmtId="164" fontId="28" fillId="0" borderId="10" xfId="53" applyNumberFormat="1" applyFont="1" applyBorder="1" applyAlignment="1">
      <alignment vertical="center" wrapText="1"/>
    </xf>
    <xf numFmtId="0" fontId="29" fillId="0" borderId="17" xfId="54" applyFont="1" applyBorder="1" applyAlignment="1">
      <alignment vertical="center"/>
    </xf>
    <xf numFmtId="164" fontId="28" fillId="0" borderId="10" xfId="53" applyNumberFormat="1" applyFont="1" applyBorder="1" applyAlignment="1" applyProtection="1">
      <alignment horizontal="right" vertical="center"/>
      <protection locked="0"/>
    </xf>
    <xf numFmtId="0" fontId="29" fillId="0" borderId="10" xfId="53" applyFont="1" applyBorder="1" applyAlignment="1" applyProtection="1">
      <alignment horizontal="left" vertical="center"/>
      <protection locked="0"/>
    </xf>
    <xf numFmtId="164" fontId="28" fillId="0" borderId="11" xfId="53" applyNumberFormat="1" applyFont="1" applyBorder="1" applyAlignment="1">
      <alignment horizontal="right" vertical="center"/>
    </xf>
    <xf numFmtId="164" fontId="37" fillId="0" borderId="0" xfId="30" applyNumberFormat="1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5" fontId="29" fillId="0" borderId="10" xfId="0" applyNumberFormat="1" applyFont="1" applyBorder="1" applyAlignment="1" applyProtection="1">
      <alignment horizontal="right" vertical="center"/>
    </xf>
    <xf numFmtId="3" fontId="28" fillId="0" borderId="0" xfId="0" applyNumberFormat="1" applyFont="1" applyFill="1" applyBorder="1" applyAlignment="1" applyProtection="1">
      <alignment horizontal="right" vertical="center"/>
      <protection locked="0"/>
    </xf>
    <xf numFmtId="165" fontId="28" fillId="0" borderId="0" xfId="30" applyNumberFormat="1" applyFont="1" applyBorder="1" applyAlignment="1" applyProtection="1">
      <alignment horizontal="right" vertical="center"/>
    </xf>
    <xf numFmtId="0" fontId="28" fillId="0" borderId="0" xfId="0" applyFont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9" fillId="24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0" fontId="28" fillId="21" borderId="0" xfId="0" applyFont="1" applyFill="1" applyBorder="1" applyAlignment="1" applyProtection="1">
      <alignment horizontal="left" vertical="center"/>
      <protection locked="0"/>
    </xf>
    <xf numFmtId="0" fontId="28" fillId="23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9" fillId="22" borderId="0" xfId="0" applyFont="1" applyFill="1" applyBorder="1" applyAlignment="1">
      <alignment vertical="center"/>
    </xf>
    <xf numFmtId="0" fontId="29" fillId="19" borderId="0" xfId="0" applyFont="1" applyFill="1" applyBorder="1" applyAlignment="1">
      <alignment vertical="center"/>
    </xf>
    <xf numFmtId="0" fontId="28" fillId="0" borderId="10" xfId="0" applyFont="1" applyBorder="1" applyAlignment="1" applyProtection="1">
      <alignment horizontal="left" vertical="center"/>
    </xf>
    <xf numFmtId="3" fontId="28" fillId="0" borderId="0" xfId="0" applyNumberFormat="1" applyFont="1" applyBorder="1" applyAlignment="1" applyProtection="1">
      <alignment horizontal="right" vertical="center"/>
    </xf>
    <xf numFmtId="164" fontId="28" fillId="0" borderId="0" xfId="30" applyNumberFormat="1" applyFont="1" applyBorder="1" applyAlignment="1" applyProtection="1">
      <alignment horizontal="left" vertical="center"/>
      <protection locked="0"/>
    </xf>
    <xf numFmtId="3" fontId="29" fillId="0" borderId="0" xfId="0" applyNumberFormat="1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vertical="center"/>
    </xf>
    <xf numFmtId="0" fontId="28" fillId="24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21" borderId="0" xfId="0" applyFont="1" applyFill="1" applyBorder="1" applyAlignment="1" applyProtection="1">
      <alignment horizontal="left" vertical="center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2" borderId="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 applyProtection="1">
      <alignment horizontal="left" vertical="center"/>
      <protection locked="0"/>
    </xf>
    <xf numFmtId="0" fontId="28" fillId="22" borderId="0" xfId="0" applyFont="1" applyFill="1" applyBorder="1" applyAlignment="1">
      <alignment horizontal="left" vertical="center"/>
    </xf>
    <xf numFmtId="0" fontId="28" fillId="22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left" vertical="center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horizontal="left" vertical="center"/>
    </xf>
    <xf numFmtId="0" fontId="60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61" fillId="21" borderId="0" xfId="0" applyFont="1" applyFill="1" applyBorder="1" applyAlignment="1" applyProtection="1">
      <alignment horizontal="left" vertical="center"/>
      <protection locked="0"/>
    </xf>
    <xf numFmtId="0" fontId="61" fillId="22" borderId="0" xfId="0" applyFont="1" applyFill="1" applyBorder="1" applyAlignment="1" applyProtection="1">
      <alignment horizontal="left" vertical="center"/>
      <protection locked="0"/>
    </xf>
    <xf numFmtId="0" fontId="62" fillId="22" borderId="0" xfId="0" applyFont="1" applyFill="1" applyBorder="1" applyAlignment="1">
      <alignment horizontal="left" vertical="center"/>
    </xf>
    <xf numFmtId="3" fontId="28" fillId="0" borderId="10" xfId="0" applyNumberFormat="1" applyFont="1" applyBorder="1" applyAlignment="1">
      <alignment vertical="center" shrinkToFit="1"/>
    </xf>
    <xf numFmtId="0" fontId="55" fillId="0" borderId="17" xfId="58" applyFont="1" applyBorder="1" applyAlignment="1">
      <alignment horizontal="center" vertical="center"/>
    </xf>
    <xf numFmtId="0" fontId="55" fillId="0" borderId="19" xfId="58" applyFont="1" applyBorder="1" applyAlignment="1">
      <alignment horizontal="center" vertical="center"/>
    </xf>
    <xf numFmtId="0" fontId="53" fillId="0" borderId="10" xfId="58" applyFont="1" applyBorder="1" applyAlignment="1">
      <alignment horizontal="center" vertical="center"/>
    </xf>
    <xf numFmtId="0" fontId="53" fillId="0" borderId="13" xfId="58" applyFont="1" applyBorder="1" applyAlignment="1">
      <alignment horizontal="center" vertical="center"/>
    </xf>
    <xf numFmtId="0" fontId="53" fillId="0" borderId="19" xfId="58" applyFont="1" applyBorder="1" applyAlignment="1">
      <alignment horizontal="center" vertical="center"/>
    </xf>
    <xf numFmtId="0" fontId="53" fillId="0" borderId="19" xfId="58" applyFont="1" applyBorder="1" applyAlignment="1">
      <alignment horizontal="center" vertical="center" wrapText="1"/>
    </xf>
    <xf numFmtId="0" fontId="55" fillId="0" borderId="19" xfId="58" applyFont="1" applyBorder="1" applyAlignment="1">
      <alignment horizontal="center" vertical="center" wrapText="1"/>
    </xf>
    <xf numFmtId="0" fontId="53" fillId="0" borderId="0" xfId="58" applyFont="1" applyAlignment="1">
      <alignment vertical="center"/>
    </xf>
    <xf numFmtId="0" fontId="53" fillId="0" borderId="17" xfId="58" applyFont="1" applyBorder="1" applyAlignment="1">
      <alignment horizontal="center" vertical="center"/>
    </xf>
    <xf numFmtId="0" fontId="53" fillId="0" borderId="17" xfId="58" applyFont="1" applyBorder="1" applyAlignment="1">
      <alignment horizontal="center" vertical="center" wrapText="1"/>
    </xf>
    <xf numFmtId="0" fontId="53" fillId="0" borderId="0" xfId="58" applyFont="1" applyAlignment="1">
      <alignment horizontal="center" vertical="center"/>
    </xf>
    <xf numFmtId="0" fontId="55" fillId="19" borderId="0" xfId="0" applyFont="1" applyFill="1" applyBorder="1" applyAlignment="1">
      <alignment horizontal="right" vertical="center"/>
    </xf>
    <xf numFmtId="0" fontId="55" fillId="23" borderId="0" xfId="0" applyFont="1" applyFill="1" applyBorder="1" applyAlignment="1" applyProtection="1">
      <alignment horizontal="right" vertical="center"/>
    </xf>
    <xf numFmtId="0" fontId="55" fillId="24" borderId="0" xfId="0" applyFont="1" applyFill="1" applyBorder="1" applyAlignment="1" applyProtection="1">
      <alignment horizontal="right" vertical="center"/>
    </xf>
    <xf numFmtId="164" fontId="55" fillId="23" borderId="12" xfId="0" applyNumberFormat="1" applyFont="1" applyFill="1" applyBorder="1" applyAlignment="1">
      <alignment horizontal="right" vertical="center"/>
    </xf>
    <xf numFmtId="164" fontId="55" fillId="24" borderId="0" xfId="0" applyNumberFormat="1" applyFont="1" applyFill="1" applyBorder="1" applyAlignment="1">
      <alignment horizontal="right" vertical="center"/>
    </xf>
    <xf numFmtId="164" fontId="55" fillId="24" borderId="12" xfId="0" applyNumberFormat="1" applyFont="1" applyFill="1" applyBorder="1" applyAlignment="1">
      <alignment horizontal="right" vertical="center"/>
    </xf>
    <xf numFmtId="164" fontId="55" fillId="21" borderId="0" xfId="0" applyNumberFormat="1" applyFont="1" applyFill="1" applyBorder="1" applyAlignment="1">
      <alignment horizontal="right" vertical="center"/>
    </xf>
    <xf numFmtId="0" fontId="55" fillId="21" borderId="0" xfId="0" applyFont="1" applyFill="1" applyBorder="1" applyAlignment="1" applyProtection="1">
      <alignment horizontal="right" vertical="center"/>
      <protection locked="0"/>
    </xf>
    <xf numFmtId="164" fontId="55" fillId="21" borderId="12" xfId="0" applyNumberFormat="1" applyFont="1" applyFill="1" applyBorder="1" applyAlignment="1">
      <alignment horizontal="right" vertical="center"/>
    </xf>
    <xf numFmtId="164" fontId="55" fillId="22" borderId="0" xfId="0" applyNumberFormat="1" applyFont="1" applyFill="1" applyBorder="1" applyAlignment="1">
      <alignment horizontal="right" vertical="center"/>
    </xf>
    <xf numFmtId="0" fontId="55" fillId="22" borderId="0" xfId="0" applyFont="1" applyFill="1" applyBorder="1" applyAlignment="1" applyProtection="1">
      <alignment horizontal="right" vertical="center"/>
      <protection locked="0"/>
    </xf>
    <xf numFmtId="164" fontId="55" fillId="22" borderId="12" xfId="0" applyNumberFormat="1" applyFont="1" applyFill="1" applyBorder="1" applyAlignment="1">
      <alignment horizontal="right" vertical="center"/>
    </xf>
    <xf numFmtId="164" fontId="55" fillId="19" borderId="12" xfId="0" applyNumberFormat="1" applyFont="1" applyFill="1" applyBorder="1" applyAlignment="1">
      <alignment horizontal="right" vertical="center"/>
    </xf>
    <xf numFmtId="0" fontId="55" fillId="0" borderId="0" xfId="58" applyFont="1" applyFill="1" applyBorder="1" applyAlignment="1">
      <alignment vertical="center"/>
    </xf>
    <xf numFmtId="166" fontId="46" fillId="0" borderId="0" xfId="58" applyNumberFormat="1" applyFont="1" applyFill="1" applyBorder="1"/>
    <xf numFmtId="44" fontId="46" fillId="0" borderId="0" xfId="59" applyFont="1" applyFill="1" applyBorder="1"/>
    <xf numFmtId="44" fontId="46" fillId="0" borderId="0" xfId="58" applyNumberFormat="1" applyFont="1" applyFill="1" applyBorder="1" applyAlignment="1">
      <alignment horizontal="right" vertical="center" wrapText="1" shrinkToFit="1"/>
    </xf>
    <xf numFmtId="167" fontId="46" fillId="0" borderId="0" xfId="60" applyNumberFormat="1" applyFont="1" applyFill="1" applyBorder="1"/>
    <xf numFmtId="0" fontId="46" fillId="0" borderId="0" xfId="58" applyFont="1"/>
    <xf numFmtId="0" fontId="29" fillId="0" borderId="10" xfId="53" applyFont="1" applyBorder="1" applyAlignment="1">
      <alignment vertical="center" wrapText="1"/>
    </xf>
    <xf numFmtId="0" fontId="37" fillId="0" borderId="0" xfId="53" applyFont="1" applyBorder="1" applyAlignment="1" applyProtection="1">
      <alignment horizontal="left" vertical="top"/>
      <protection locked="0"/>
    </xf>
    <xf numFmtId="0" fontId="37" fillId="0" borderId="0" xfId="53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 wrapText="1"/>
    </xf>
    <xf numFmtId="1" fontId="40" fillId="0" borderId="10" xfId="0" applyNumberFormat="1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3" fontId="28" fillId="0" borderId="17" xfId="0" applyNumberFormat="1" applyFont="1" applyBorder="1" applyAlignment="1">
      <alignment horizontal="left" vertical="center" wrapText="1" shrinkToFit="1"/>
    </xf>
    <xf numFmtId="3" fontId="28" fillId="0" borderId="18" xfId="0" applyNumberFormat="1" applyFont="1" applyBorder="1" applyAlignment="1">
      <alignment horizontal="left" vertical="center" wrapText="1" shrinkToFit="1"/>
    </xf>
    <xf numFmtId="3" fontId="28" fillId="0" borderId="19" xfId="0" applyNumberFormat="1" applyFont="1" applyBorder="1" applyAlignment="1">
      <alignment horizontal="left" vertical="center" wrapText="1" shrinkToFit="1"/>
    </xf>
    <xf numFmtId="5" fontId="28" fillId="0" borderId="17" xfId="0" applyNumberFormat="1" applyFont="1" applyBorder="1" applyAlignment="1" applyProtection="1">
      <alignment horizontal="right" vertical="center"/>
    </xf>
    <xf numFmtId="5" fontId="28" fillId="0" borderId="18" xfId="0" applyNumberFormat="1" applyFont="1" applyBorder="1" applyAlignment="1" applyProtection="1">
      <alignment horizontal="right" vertical="center"/>
    </xf>
    <xf numFmtId="5" fontId="28" fillId="0" borderId="19" xfId="0" applyNumberFormat="1" applyFont="1" applyBorder="1" applyAlignment="1" applyProtection="1">
      <alignment horizontal="right" vertical="center"/>
    </xf>
    <xf numFmtId="1" fontId="50" fillId="0" borderId="10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 wrapText="1"/>
    </xf>
    <xf numFmtId="0" fontId="55" fillId="0" borderId="17" xfId="58" applyFont="1" applyFill="1" applyBorder="1" applyAlignment="1">
      <alignment horizontal="center" vertical="center"/>
    </xf>
    <xf numFmtId="0" fontId="55" fillId="0" borderId="18" xfId="58" applyFont="1" applyFill="1" applyBorder="1" applyAlignment="1">
      <alignment horizontal="center" vertical="center"/>
    </xf>
    <xf numFmtId="0" fontId="55" fillId="0" borderId="19" xfId="58" applyFont="1" applyFill="1" applyBorder="1" applyAlignment="1">
      <alignment horizontal="center" vertical="center"/>
    </xf>
    <xf numFmtId="4" fontId="53" fillId="0" borderId="17" xfId="58" applyNumberFormat="1" applyFont="1" applyFill="1" applyBorder="1" applyAlignment="1">
      <alignment horizontal="center" vertical="center"/>
    </xf>
    <xf numFmtId="4" fontId="53" fillId="0" borderId="18" xfId="58" applyNumberFormat="1" applyFont="1" applyFill="1" applyBorder="1" applyAlignment="1">
      <alignment horizontal="center" vertical="center"/>
    </xf>
    <xf numFmtId="4" fontId="53" fillId="0" borderId="19" xfId="58" applyNumberFormat="1" applyFont="1" applyFill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 wrapText="1"/>
      <protection locked="0"/>
    </xf>
    <xf numFmtId="5" fontId="28" fillId="0" borderId="15" xfId="0" applyNumberFormat="1" applyFont="1" applyFill="1" applyBorder="1" applyAlignment="1" applyProtection="1">
      <alignment horizontal="right"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3" xfId="29" xr:uid="{00000000-0005-0000-0000-00001C000000}"/>
    <cellStyle name="Currency" xfId="30" builtinId="4"/>
    <cellStyle name="Currency 2" xfId="59" xr:uid="{00000000-0005-0000-0000-00001E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 xr:uid="{00000000-0005-0000-0000-000025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57" xr:uid="{00000000-0005-0000-0000-00002A000000}"/>
    <cellStyle name="Normal 11" xfId="58" xr:uid="{00000000-0005-0000-0000-00002B000000}"/>
    <cellStyle name="Normal 12" xfId="61" xr:uid="{1FC1F9C1-8410-4AC0-9BF4-FDFD0E95C7DB}"/>
    <cellStyle name="Normal 2" xfId="41" xr:uid="{00000000-0005-0000-0000-00002C000000}"/>
    <cellStyle name="Normal 3" xfId="42" xr:uid="{00000000-0005-0000-0000-00002D000000}"/>
    <cellStyle name="Normal 4" xfId="43" xr:uid="{00000000-0005-0000-0000-00002E000000}"/>
    <cellStyle name="Normal 5" xfId="44" xr:uid="{00000000-0005-0000-0000-00002F000000}"/>
    <cellStyle name="Normal 6" xfId="52" xr:uid="{00000000-0005-0000-0000-000030000000}"/>
    <cellStyle name="Normal 7" xfId="54" xr:uid="{00000000-0005-0000-0000-000031000000}"/>
    <cellStyle name="Normal 8" xfId="55" xr:uid="{00000000-0005-0000-0000-000032000000}"/>
    <cellStyle name="Normal 9" xfId="56" xr:uid="{00000000-0005-0000-0000-000033000000}"/>
    <cellStyle name="Normal_Budget 2014 - 2015 v1 (FP&amp;R 13.11.13) 2" xfId="53" xr:uid="{00000000-0005-0000-0000-000034000000}"/>
    <cellStyle name="Note" xfId="45" builtinId="10" customBuiltin="1"/>
    <cellStyle name="Output" xfId="46" builtinId="21" customBuiltin="1"/>
    <cellStyle name="Percent 2" xfId="47" xr:uid="{00000000-0005-0000-0000-000037000000}"/>
    <cellStyle name="Percent 3" xfId="48" xr:uid="{00000000-0005-0000-0000-000038000000}"/>
    <cellStyle name="Percent 4" xfId="60" xr:uid="{00000000-0005-0000-0000-000039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mruColors>
      <color rgb="FFFFCC00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2016%20-%202017/Precept%20Form%202016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ITY%20BUDGETS/2021-2022/2021-2022%20Locality%20Budget%20expenditu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ANT%20FUNDING/2021-2022/Grant%20funding%202021%20-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Divisible%20by%209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ept Form"/>
      <sheetName val="15-16 Information"/>
      <sheetName val="16-17 Grants &amp; Tax Base"/>
    </sheetNames>
    <sheetDataSet>
      <sheetData sheetId="0"/>
      <sheetData sheetId="1"/>
      <sheetData sheetId="2">
        <row r="7">
          <cell r="C7" t="str">
            <v>Bury St Edmunds</v>
          </cell>
        </row>
        <row r="8">
          <cell r="C8" t="str">
            <v>Haverhill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APPLICATIONS RECEIVED"/>
      <sheetName val="SUMMARY"/>
      <sheetName val="SUMMARY EXPENDITURE"/>
      <sheetName val="AUG"/>
      <sheetName val="BOU"/>
      <sheetName val="CHUNG"/>
      <sheetName val="EVE"/>
      <sheetName val="HIG"/>
      <sheetName val="HIN D"/>
      <sheetName val="HIN K"/>
      <sheetName val="IAN"/>
      <sheetName val="MUR"/>
      <sheetName val="PAR"/>
      <sheetName val="RAY"/>
      <sheetName val="ROU"/>
      <sheetName val="STA"/>
      <sheetName val="THO"/>
      <sheetName val="TUR"/>
      <sheetName val="WAT"/>
      <sheetName val="WHI"/>
    </sheetNames>
    <sheetDataSet>
      <sheetData sheetId="0">
        <row r="12">
          <cell r="K12">
            <v>46291.5</v>
          </cell>
        </row>
        <row r="17">
          <cell r="J17">
            <v>63291.5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s"/>
      <sheetName val="Summary of grants awarded"/>
      <sheetName val="SPECIFIC INITIATIVES"/>
    </sheetNames>
    <sheetDataSet>
      <sheetData sheetId="0">
        <row r="10">
          <cell r="C10">
            <v>6859</v>
          </cell>
        </row>
        <row r="11">
          <cell r="C11">
            <v>15000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mbers divisible by 9"/>
      <sheetName val="Macro1"/>
      <sheetName val="Macro2"/>
    </sheetNames>
    <sheetDataSet>
      <sheetData sheetId="0"/>
      <sheetData sheetId="1">
        <row r="370">
          <cell r="C370">
            <v>33.299999999999997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5"/>
  <sheetViews>
    <sheetView showWhiteSpace="0" topLeftCell="A58" zoomScale="85" zoomScaleNormal="85" zoomScalePageLayoutView="55" workbookViewId="0">
      <selection activeCell="C60" sqref="C60"/>
    </sheetView>
  </sheetViews>
  <sheetFormatPr defaultColWidth="9.109375" defaultRowHeight="20.3" customHeight="1" x14ac:dyDescent="0.2"/>
  <cols>
    <col min="1" max="1" width="7.33203125" style="6" customWidth="1"/>
    <col min="2" max="2" width="35" style="6" customWidth="1"/>
    <col min="3" max="3" width="14.77734375" style="7" customWidth="1"/>
    <col min="4" max="4" width="15.88671875" style="7" customWidth="1"/>
    <col min="5" max="5" width="14.33203125" style="6" customWidth="1"/>
    <col min="6" max="6" width="15.21875" style="6" customWidth="1"/>
    <col min="7" max="8" width="14.33203125" style="6" customWidth="1"/>
    <col min="9" max="9" width="82.33203125" style="6" customWidth="1"/>
    <col min="10" max="16384" width="9.109375" style="6"/>
  </cols>
  <sheetData>
    <row r="1" spans="1:10" ht="26.25" customHeight="1" x14ac:dyDescent="0.2">
      <c r="A1" s="68" t="s">
        <v>110</v>
      </c>
      <c r="I1" s="8"/>
      <c r="J1" s="9"/>
    </row>
    <row r="2" spans="1:10" ht="29.95" x14ac:dyDescent="0.2">
      <c r="A2" s="270" t="s">
        <v>5</v>
      </c>
      <c r="B2" s="270"/>
      <c r="C2" s="10" t="s">
        <v>64</v>
      </c>
      <c r="D2" s="273" t="s">
        <v>65</v>
      </c>
      <c r="E2" s="274"/>
      <c r="F2" s="274"/>
      <c r="G2" s="275"/>
      <c r="H2" s="10" t="s">
        <v>66</v>
      </c>
      <c r="I2" s="272" t="s">
        <v>0</v>
      </c>
    </row>
    <row r="3" spans="1:10" ht="29.95" x14ac:dyDescent="0.2">
      <c r="A3" s="270"/>
      <c r="B3" s="270"/>
      <c r="C3" s="46" t="s">
        <v>1</v>
      </c>
      <c r="D3" s="44" t="s">
        <v>67</v>
      </c>
      <c r="E3" s="44" t="s">
        <v>2</v>
      </c>
      <c r="F3" s="44" t="s">
        <v>56</v>
      </c>
      <c r="G3" s="44" t="s">
        <v>3</v>
      </c>
      <c r="H3" s="44" t="s">
        <v>4</v>
      </c>
      <c r="I3" s="272"/>
    </row>
    <row r="4" spans="1:10" ht="32.25" customHeight="1" x14ac:dyDescent="0.2">
      <c r="A4" s="54">
        <v>4000</v>
      </c>
      <c r="B4" s="54" t="s">
        <v>6</v>
      </c>
      <c r="C4" s="55">
        <v>62204</v>
      </c>
      <c r="D4" s="56">
        <v>36575</v>
      </c>
      <c r="E4" s="57">
        <v>64069</v>
      </c>
      <c r="F4" s="58">
        <v>28399.074324324327</v>
      </c>
      <c r="G4" s="41">
        <f t="shared" ref="G4:G17" si="0">D4+F4</f>
        <v>64974.074324324327</v>
      </c>
      <c r="H4" s="41">
        <f>G4/100*102</f>
        <v>66273.555810810809</v>
      </c>
      <c r="I4" s="51" t="s">
        <v>99</v>
      </c>
    </row>
    <row r="5" spans="1:10" ht="20.9" customHeight="1" x14ac:dyDescent="0.2">
      <c r="A5" s="54">
        <v>4001</v>
      </c>
      <c r="B5" s="54" t="s">
        <v>7</v>
      </c>
      <c r="C5" s="55">
        <v>5301</v>
      </c>
      <c r="D5" s="56">
        <v>2645</v>
      </c>
      <c r="E5" s="57">
        <v>5460</v>
      </c>
      <c r="F5" s="58">
        <f>500*5</f>
        <v>2500</v>
      </c>
      <c r="G5" s="41">
        <f>D5+F5</f>
        <v>5145</v>
      </c>
      <c r="H5" s="41">
        <f>G5/100*102</f>
        <v>5247.9000000000005</v>
      </c>
      <c r="I5" s="52"/>
    </row>
    <row r="6" spans="1:10" ht="20.9" customHeight="1" x14ac:dyDescent="0.2">
      <c r="A6" s="54">
        <v>4002</v>
      </c>
      <c r="B6" s="54" t="s">
        <v>8</v>
      </c>
      <c r="C6" s="55">
        <v>15551</v>
      </c>
      <c r="D6" s="56">
        <v>9374</v>
      </c>
      <c r="E6" s="57">
        <v>16018</v>
      </c>
      <c r="F6" s="58">
        <v>7099.7685810810817</v>
      </c>
      <c r="G6" s="41">
        <f>D6+F6</f>
        <v>16473.76858108108</v>
      </c>
      <c r="H6" s="69">
        <f>H4/100*25</f>
        <v>16568.388952702702</v>
      </c>
      <c r="I6" s="51" t="s">
        <v>79</v>
      </c>
    </row>
    <row r="7" spans="1:10" ht="20.9" customHeight="1" x14ac:dyDescent="0.2">
      <c r="A7" s="54">
        <v>4003</v>
      </c>
      <c r="B7" s="54" t="s">
        <v>88</v>
      </c>
      <c r="C7" s="55">
        <v>0</v>
      </c>
      <c r="D7" s="56">
        <v>0</v>
      </c>
      <c r="E7" s="57">
        <v>0</v>
      </c>
      <c r="F7" s="58">
        <v>0</v>
      </c>
      <c r="G7" s="41">
        <v>0</v>
      </c>
      <c r="H7" s="41">
        <v>0</v>
      </c>
      <c r="I7" s="51"/>
    </row>
    <row r="8" spans="1:10" ht="20.9" customHeight="1" x14ac:dyDescent="0.2">
      <c r="A8" s="54">
        <v>4004</v>
      </c>
      <c r="B8" s="54" t="s">
        <v>9</v>
      </c>
      <c r="C8" s="55">
        <v>331</v>
      </c>
      <c r="D8" s="56">
        <v>70</v>
      </c>
      <c r="E8" s="57">
        <v>350</v>
      </c>
      <c r="F8" s="57">
        <f>E8-D8</f>
        <v>280</v>
      </c>
      <c r="G8" s="41">
        <f t="shared" si="0"/>
        <v>350</v>
      </c>
      <c r="H8" s="41">
        <v>350</v>
      </c>
      <c r="I8" s="51" t="s">
        <v>78</v>
      </c>
    </row>
    <row r="9" spans="1:10" ht="20.9" customHeight="1" x14ac:dyDescent="0.2">
      <c r="A9" s="54">
        <v>4005</v>
      </c>
      <c r="B9" s="54" t="s">
        <v>10</v>
      </c>
      <c r="C9" s="55">
        <v>641</v>
      </c>
      <c r="D9" s="56">
        <v>316</v>
      </c>
      <c r="E9" s="57">
        <v>3000</v>
      </c>
      <c r="F9" s="57">
        <f>16*6</f>
        <v>96</v>
      </c>
      <c r="G9" s="41">
        <f>D9+F9</f>
        <v>412</v>
      </c>
      <c r="H9" s="41">
        <v>3000</v>
      </c>
      <c r="I9" s="11"/>
    </row>
    <row r="10" spans="1:10" ht="20.9" customHeight="1" x14ac:dyDescent="0.2">
      <c r="A10" s="54">
        <v>4006</v>
      </c>
      <c r="B10" s="54" t="s">
        <v>89</v>
      </c>
      <c r="C10" s="55">
        <v>0</v>
      </c>
      <c r="D10" s="56">
        <v>0</v>
      </c>
      <c r="E10" s="57">
        <v>0</v>
      </c>
      <c r="F10" s="58">
        <v>0</v>
      </c>
      <c r="G10" s="41">
        <v>0</v>
      </c>
      <c r="H10" s="41">
        <v>0</v>
      </c>
      <c r="I10" s="51"/>
    </row>
    <row r="11" spans="1:10" ht="20.9" customHeight="1" x14ac:dyDescent="0.2">
      <c r="A11" s="54">
        <v>4106</v>
      </c>
      <c r="B11" s="54" t="s">
        <v>11</v>
      </c>
      <c r="C11" s="55">
        <v>226</v>
      </c>
      <c r="D11" s="56">
        <v>50</v>
      </c>
      <c r="E11" s="57">
        <v>500</v>
      </c>
      <c r="F11" s="57">
        <v>0</v>
      </c>
      <c r="G11" s="41">
        <f>D11+F11</f>
        <v>50</v>
      </c>
      <c r="H11" s="41">
        <v>500</v>
      </c>
      <c r="I11" s="13"/>
    </row>
    <row r="12" spans="1:10" ht="20.9" customHeight="1" x14ac:dyDescent="0.2">
      <c r="A12" s="54">
        <v>4110</v>
      </c>
      <c r="B12" s="54" t="s">
        <v>45</v>
      </c>
      <c r="C12" s="55">
        <v>12</v>
      </c>
      <c r="D12" s="56">
        <v>-662</v>
      </c>
      <c r="E12" s="57">
        <v>715</v>
      </c>
      <c r="F12" s="57">
        <v>0</v>
      </c>
      <c r="G12" s="41">
        <v>700</v>
      </c>
      <c r="H12" s="41">
        <v>730</v>
      </c>
      <c r="I12" s="11"/>
    </row>
    <row r="13" spans="1:10" ht="20.9" customHeight="1" x14ac:dyDescent="0.2">
      <c r="A13" s="54">
        <v>4112</v>
      </c>
      <c r="B13" s="54" t="s">
        <v>12</v>
      </c>
      <c r="C13" s="55">
        <v>310</v>
      </c>
      <c r="D13" s="56">
        <v>0</v>
      </c>
      <c r="E13" s="57">
        <v>350</v>
      </c>
      <c r="F13" s="57">
        <v>350</v>
      </c>
      <c r="G13" s="41">
        <f>D13+F13</f>
        <v>350</v>
      </c>
      <c r="H13" s="41">
        <v>500</v>
      </c>
      <c r="I13" s="12"/>
    </row>
    <row r="14" spans="1:10" ht="20.9" customHeight="1" x14ac:dyDescent="0.2">
      <c r="A14" s="54">
        <v>4113</v>
      </c>
      <c r="B14" s="54" t="s">
        <v>13</v>
      </c>
      <c r="C14" s="55">
        <v>800</v>
      </c>
      <c r="D14" s="56">
        <v>0</v>
      </c>
      <c r="E14" s="57">
        <v>800</v>
      </c>
      <c r="F14" s="57">
        <v>800</v>
      </c>
      <c r="G14" s="41">
        <f>D14+F14</f>
        <v>800</v>
      </c>
      <c r="H14" s="41">
        <v>800</v>
      </c>
      <c r="I14" s="11"/>
    </row>
    <row r="15" spans="1:10" ht="20.9" customHeight="1" x14ac:dyDescent="0.2">
      <c r="A15" s="54">
        <v>4115</v>
      </c>
      <c r="B15" s="54" t="s">
        <v>14</v>
      </c>
      <c r="C15" s="55">
        <v>82</v>
      </c>
      <c r="D15" s="56">
        <v>81</v>
      </c>
      <c r="E15" s="57">
        <v>300</v>
      </c>
      <c r="F15" s="57">
        <f>(9*6)+(6*6)</f>
        <v>90</v>
      </c>
      <c r="G15" s="41">
        <f>D15+F15</f>
        <v>171</v>
      </c>
      <c r="H15" s="41">
        <v>300</v>
      </c>
      <c r="I15" s="11"/>
    </row>
    <row r="16" spans="1:10" ht="48.85" customHeight="1" x14ac:dyDescent="0.2">
      <c r="A16" s="54">
        <v>4118</v>
      </c>
      <c r="B16" s="54" t="s">
        <v>15</v>
      </c>
      <c r="C16" s="55">
        <v>373</v>
      </c>
      <c r="D16" s="56">
        <v>219</v>
      </c>
      <c r="E16" s="57">
        <v>4750</v>
      </c>
      <c r="F16" s="57">
        <f>31*3</f>
        <v>93</v>
      </c>
      <c r="G16" s="41">
        <f t="shared" si="0"/>
        <v>312</v>
      </c>
      <c r="H16" s="41">
        <v>500</v>
      </c>
      <c r="I16" s="51" t="s">
        <v>111</v>
      </c>
    </row>
    <row r="17" spans="1:9" ht="24.8" customHeight="1" x14ac:dyDescent="0.2">
      <c r="A17" s="54">
        <v>4124</v>
      </c>
      <c r="B17" s="54" t="s">
        <v>16</v>
      </c>
      <c r="C17" s="55">
        <v>26</v>
      </c>
      <c r="D17" s="56">
        <v>173</v>
      </c>
      <c r="E17" s="57">
        <v>500</v>
      </c>
      <c r="F17" s="57">
        <f>28.43*6</f>
        <v>170.57999999999998</v>
      </c>
      <c r="G17" s="41">
        <f t="shared" si="0"/>
        <v>343.58</v>
      </c>
      <c r="H17" s="41">
        <v>500</v>
      </c>
      <c r="I17" s="11"/>
    </row>
    <row r="18" spans="1:9" ht="24.8" customHeight="1" x14ac:dyDescent="0.2">
      <c r="A18" s="54">
        <v>4125</v>
      </c>
      <c r="B18" s="54" t="s">
        <v>17</v>
      </c>
      <c r="C18" s="55">
        <v>4309</v>
      </c>
      <c r="D18" s="56">
        <v>2120</v>
      </c>
      <c r="E18" s="57">
        <v>4500</v>
      </c>
      <c r="F18" s="57">
        <f>352*6</f>
        <v>2112</v>
      </c>
      <c r="G18" s="41">
        <f>D18+F18</f>
        <v>4232</v>
      </c>
      <c r="H18" s="41">
        <v>4500</v>
      </c>
      <c r="I18" s="51" t="s">
        <v>98</v>
      </c>
    </row>
    <row r="19" spans="1:9" ht="24.8" customHeight="1" x14ac:dyDescent="0.2">
      <c r="A19" s="54">
        <v>4126</v>
      </c>
      <c r="B19" s="54" t="s">
        <v>18</v>
      </c>
      <c r="C19" s="55">
        <v>519</v>
      </c>
      <c r="D19" s="56">
        <v>-24</v>
      </c>
      <c r="E19" s="57">
        <v>524</v>
      </c>
      <c r="F19" s="57">
        <f>255+300</f>
        <v>555</v>
      </c>
      <c r="G19" s="41">
        <f>D19+F19</f>
        <v>531</v>
      </c>
      <c r="H19" s="41">
        <v>550</v>
      </c>
      <c r="I19" s="51" t="s">
        <v>100</v>
      </c>
    </row>
    <row r="20" spans="1:9" s="48" customFormat="1" ht="47.95" customHeight="1" x14ac:dyDescent="0.2">
      <c r="A20" s="54">
        <v>4128</v>
      </c>
      <c r="B20" s="54" t="s">
        <v>19</v>
      </c>
      <c r="C20" s="59">
        <v>3382</v>
      </c>
      <c r="D20" s="60">
        <v>0</v>
      </c>
      <c r="E20" s="57">
        <v>6500</v>
      </c>
      <c r="F20" s="57">
        <v>0</v>
      </c>
      <c r="G20" s="41">
        <f t="shared" ref="G20:G56" si="1">D20+F20</f>
        <v>0</v>
      </c>
      <c r="H20" s="41">
        <v>35000</v>
      </c>
      <c r="I20" s="51" t="s">
        <v>112</v>
      </c>
    </row>
    <row r="21" spans="1:9" ht="24.8" customHeight="1" x14ac:dyDescent="0.2">
      <c r="A21" s="54">
        <v>4131</v>
      </c>
      <c r="B21" s="54" t="s">
        <v>20</v>
      </c>
      <c r="C21" s="55">
        <v>0</v>
      </c>
      <c r="D21" s="56">
        <v>0</v>
      </c>
      <c r="E21" s="57">
        <v>530</v>
      </c>
      <c r="F21" s="57">
        <v>150</v>
      </c>
      <c r="G21" s="41">
        <f>D21+F21</f>
        <v>150</v>
      </c>
      <c r="H21" s="41">
        <v>530</v>
      </c>
      <c r="I21" s="47" t="s">
        <v>80</v>
      </c>
    </row>
    <row r="22" spans="1:9" ht="24.8" customHeight="1" x14ac:dyDescent="0.2">
      <c r="A22" s="54">
        <v>4132</v>
      </c>
      <c r="B22" s="54" t="s">
        <v>21</v>
      </c>
      <c r="C22" s="55">
        <v>0</v>
      </c>
      <c r="D22" s="56">
        <v>0</v>
      </c>
      <c r="E22" s="57">
        <v>250</v>
      </c>
      <c r="F22" s="57">
        <v>0</v>
      </c>
      <c r="G22" s="41">
        <f t="shared" si="1"/>
        <v>0</v>
      </c>
      <c r="H22" s="41">
        <v>250</v>
      </c>
      <c r="I22" s="12"/>
    </row>
    <row r="23" spans="1:9" ht="24.8" customHeight="1" x14ac:dyDescent="0.2">
      <c r="A23" s="54">
        <v>4133</v>
      </c>
      <c r="B23" s="54" t="s">
        <v>22</v>
      </c>
      <c r="C23" s="55">
        <v>2588</v>
      </c>
      <c r="D23" s="56">
        <v>3543</v>
      </c>
      <c r="E23" s="57">
        <v>3000</v>
      </c>
      <c r="F23" s="57">
        <f>454.55</f>
        <v>454.55</v>
      </c>
      <c r="G23" s="41">
        <f>D23+F23</f>
        <v>3997.55</v>
      </c>
      <c r="H23" s="41">
        <v>4000</v>
      </c>
      <c r="I23" s="47" t="s">
        <v>97</v>
      </c>
    </row>
    <row r="24" spans="1:9" ht="24.8" customHeight="1" x14ac:dyDescent="0.2">
      <c r="A24" s="54">
        <v>4135</v>
      </c>
      <c r="B24" s="54" t="s">
        <v>69</v>
      </c>
      <c r="C24" s="55">
        <v>0</v>
      </c>
      <c r="D24" s="56">
        <v>1500</v>
      </c>
      <c r="E24" s="57">
        <v>2000</v>
      </c>
      <c r="F24" s="57">
        <v>0</v>
      </c>
      <c r="G24" s="41">
        <f>D24+F24</f>
        <v>1500</v>
      </c>
      <c r="H24" s="41">
        <v>500</v>
      </c>
      <c r="I24" s="47" t="s">
        <v>101</v>
      </c>
    </row>
    <row r="25" spans="1:9" ht="24.8" customHeight="1" x14ac:dyDescent="0.2">
      <c r="A25" s="54">
        <v>4136</v>
      </c>
      <c r="B25" s="54" t="s">
        <v>23</v>
      </c>
      <c r="C25" s="55">
        <v>0</v>
      </c>
      <c r="D25" s="56">
        <v>0</v>
      </c>
      <c r="E25" s="57">
        <v>1200</v>
      </c>
      <c r="F25" s="57">
        <v>0</v>
      </c>
      <c r="G25" s="41">
        <f t="shared" si="1"/>
        <v>0</v>
      </c>
      <c r="H25" s="41">
        <v>2500</v>
      </c>
      <c r="I25" s="47" t="s">
        <v>96</v>
      </c>
    </row>
    <row r="26" spans="1:9" ht="24.8" customHeight="1" x14ac:dyDescent="0.2">
      <c r="A26" s="54">
        <v>4140</v>
      </c>
      <c r="B26" s="54" t="s">
        <v>24</v>
      </c>
      <c r="C26" s="55">
        <v>859</v>
      </c>
      <c r="D26" s="56">
        <v>0</v>
      </c>
      <c r="E26" s="57">
        <v>550</v>
      </c>
      <c r="F26" s="57">
        <v>0</v>
      </c>
      <c r="G26" s="41">
        <f t="shared" si="1"/>
        <v>0</v>
      </c>
      <c r="H26" s="41">
        <v>700</v>
      </c>
      <c r="I26" s="51" t="s">
        <v>95</v>
      </c>
    </row>
    <row r="27" spans="1:9" ht="24.8" customHeight="1" x14ac:dyDescent="0.2">
      <c r="A27" s="63">
        <v>4141</v>
      </c>
      <c r="B27" s="63" t="s">
        <v>25</v>
      </c>
      <c r="C27" s="55">
        <v>11175</v>
      </c>
      <c r="D27" s="56">
        <v>8381</v>
      </c>
      <c r="E27" s="57">
        <v>11175</v>
      </c>
      <c r="F27" s="57">
        <f>2793.75</f>
        <v>2793.75</v>
      </c>
      <c r="G27" s="41">
        <f>D27+F27</f>
        <v>11174.75</v>
      </c>
      <c r="H27" s="41">
        <v>15000</v>
      </c>
      <c r="I27" s="53" t="s">
        <v>90</v>
      </c>
    </row>
    <row r="28" spans="1:9" ht="29.95" x14ac:dyDescent="0.2">
      <c r="A28" s="270" t="s">
        <v>5</v>
      </c>
      <c r="B28" s="270"/>
      <c r="C28" s="10" t="s">
        <v>64</v>
      </c>
      <c r="D28" s="273" t="s">
        <v>65</v>
      </c>
      <c r="E28" s="274"/>
      <c r="F28" s="274"/>
      <c r="G28" s="275"/>
      <c r="H28" s="10" t="s">
        <v>66</v>
      </c>
      <c r="I28" s="272" t="s">
        <v>0</v>
      </c>
    </row>
    <row r="29" spans="1:9" ht="29.95" x14ac:dyDescent="0.2">
      <c r="A29" s="270"/>
      <c r="B29" s="270"/>
      <c r="C29" s="46" t="s">
        <v>1</v>
      </c>
      <c r="D29" s="44" t="s">
        <v>67</v>
      </c>
      <c r="E29" s="44" t="s">
        <v>2</v>
      </c>
      <c r="F29" s="44" t="s">
        <v>56</v>
      </c>
      <c r="G29" s="44" t="s">
        <v>3</v>
      </c>
      <c r="H29" s="44" t="s">
        <v>4</v>
      </c>
      <c r="I29" s="272"/>
    </row>
    <row r="30" spans="1:9" ht="30.85" customHeight="1" x14ac:dyDescent="0.2">
      <c r="A30" s="54">
        <v>4142</v>
      </c>
      <c r="B30" s="54" t="s">
        <v>26</v>
      </c>
      <c r="C30" s="55">
        <v>6133</v>
      </c>
      <c r="D30" s="56">
        <v>2654</v>
      </c>
      <c r="E30" s="57">
        <v>5654</v>
      </c>
      <c r="F30" s="57">
        <v>2653.5</v>
      </c>
      <c r="G30" s="41">
        <f>D30+F30</f>
        <v>5307.5</v>
      </c>
      <c r="H30" s="41">
        <v>5800</v>
      </c>
      <c r="I30" s="51" t="s">
        <v>94</v>
      </c>
    </row>
    <row r="31" spans="1:9" ht="24.05" customHeight="1" x14ac:dyDescent="0.2">
      <c r="A31" s="54">
        <v>4145</v>
      </c>
      <c r="B31" s="54" t="s">
        <v>27</v>
      </c>
      <c r="C31" s="55">
        <v>225</v>
      </c>
      <c r="D31" s="56">
        <v>233</v>
      </c>
      <c r="E31" s="57">
        <v>450</v>
      </c>
      <c r="F31" s="57">
        <v>0</v>
      </c>
      <c r="G31" s="41">
        <f>D31+F31</f>
        <v>233</v>
      </c>
      <c r="H31" s="41">
        <v>470</v>
      </c>
      <c r="I31" s="53" t="s">
        <v>91</v>
      </c>
    </row>
    <row r="32" spans="1:9" ht="24.05" customHeight="1" x14ac:dyDescent="0.2">
      <c r="A32" s="54">
        <v>4146</v>
      </c>
      <c r="B32" s="54" t="s">
        <v>28</v>
      </c>
      <c r="C32" s="55">
        <v>370</v>
      </c>
      <c r="D32" s="56">
        <v>161</v>
      </c>
      <c r="E32" s="57">
        <v>400</v>
      </c>
      <c r="F32" s="57">
        <f>E32-D32</f>
        <v>239</v>
      </c>
      <c r="G32" s="41">
        <f>D32+F32</f>
        <v>400</v>
      </c>
      <c r="H32" s="41">
        <v>400</v>
      </c>
      <c r="I32" s="13"/>
    </row>
    <row r="33" spans="1:9" ht="24.05" customHeight="1" x14ac:dyDescent="0.2">
      <c r="A33" s="54">
        <v>4148</v>
      </c>
      <c r="B33" s="54" t="s">
        <v>29</v>
      </c>
      <c r="C33" s="55">
        <v>124</v>
      </c>
      <c r="D33" s="56">
        <v>32</v>
      </c>
      <c r="E33" s="57">
        <v>150</v>
      </c>
      <c r="F33" s="57">
        <v>32</v>
      </c>
      <c r="G33" s="41">
        <f t="shared" si="1"/>
        <v>64</v>
      </c>
      <c r="H33" s="41">
        <v>150</v>
      </c>
      <c r="I33" s="51"/>
    </row>
    <row r="34" spans="1:9" ht="24.05" customHeight="1" x14ac:dyDescent="0.2">
      <c r="A34" s="54">
        <v>4153</v>
      </c>
      <c r="B34" s="54" t="s">
        <v>30</v>
      </c>
      <c r="C34" s="55">
        <v>722</v>
      </c>
      <c r="D34" s="56">
        <v>423</v>
      </c>
      <c r="E34" s="57">
        <v>650</v>
      </c>
      <c r="F34" s="57">
        <f>E34-D34</f>
        <v>227</v>
      </c>
      <c r="G34" s="41">
        <f t="shared" si="1"/>
        <v>650</v>
      </c>
      <c r="H34" s="41">
        <v>650</v>
      </c>
      <c r="I34" s="51" t="s">
        <v>51</v>
      </c>
    </row>
    <row r="35" spans="1:9" ht="24.05" customHeight="1" x14ac:dyDescent="0.2">
      <c r="A35" s="54">
        <v>4154</v>
      </c>
      <c r="B35" s="54" t="s">
        <v>31</v>
      </c>
      <c r="C35" s="55">
        <v>3059</v>
      </c>
      <c r="D35" s="56">
        <v>2844</v>
      </c>
      <c r="E35" s="57">
        <v>3250</v>
      </c>
      <c r="F35" s="57">
        <v>0</v>
      </c>
      <c r="G35" s="41">
        <f>D35+F35</f>
        <v>2844</v>
      </c>
      <c r="H35" s="41">
        <v>3370</v>
      </c>
      <c r="I35" s="51" t="s">
        <v>102</v>
      </c>
    </row>
    <row r="36" spans="1:9" ht="24.05" customHeight="1" x14ac:dyDescent="0.2">
      <c r="A36" s="54">
        <v>4162</v>
      </c>
      <c r="B36" s="54" t="s">
        <v>32</v>
      </c>
      <c r="C36" s="55">
        <v>60</v>
      </c>
      <c r="D36" s="56">
        <v>0</v>
      </c>
      <c r="E36" s="57">
        <v>2000</v>
      </c>
      <c r="F36" s="57">
        <v>0</v>
      </c>
      <c r="G36" s="41">
        <f t="shared" si="1"/>
        <v>0</v>
      </c>
      <c r="H36" s="41">
        <v>2000</v>
      </c>
      <c r="I36" s="13"/>
    </row>
    <row r="37" spans="1:9" ht="24.8" customHeight="1" x14ac:dyDescent="0.2">
      <c r="A37" s="54">
        <v>4203</v>
      </c>
      <c r="B37" s="54" t="s">
        <v>46</v>
      </c>
      <c r="C37" s="55">
        <v>5370</v>
      </c>
      <c r="D37" s="56">
        <v>5370</v>
      </c>
      <c r="E37" s="57">
        <v>6120</v>
      </c>
      <c r="F37" s="57">
        <f>E37-D37</f>
        <v>750</v>
      </c>
      <c r="G37" s="41">
        <f>D37+F37</f>
        <v>6120</v>
      </c>
      <c r="H37" s="41">
        <v>6120</v>
      </c>
      <c r="I37" s="47" t="s">
        <v>92</v>
      </c>
    </row>
    <row r="38" spans="1:9" ht="29.95" x14ac:dyDescent="0.2">
      <c r="A38" s="54">
        <v>4236</v>
      </c>
      <c r="B38" s="54" t="s">
        <v>70</v>
      </c>
      <c r="C38" s="55">
        <v>0</v>
      </c>
      <c r="D38" s="56">
        <v>20000</v>
      </c>
      <c r="E38" s="57">
        <v>20000</v>
      </c>
      <c r="F38" s="57">
        <v>0</v>
      </c>
      <c r="G38" s="41">
        <f>D38+F38</f>
        <v>20000</v>
      </c>
      <c r="H38" s="41">
        <v>20000</v>
      </c>
      <c r="I38" s="35" t="s">
        <v>81</v>
      </c>
    </row>
    <row r="39" spans="1:9" ht="29.95" x14ac:dyDescent="0.2">
      <c r="A39" s="54">
        <v>4280</v>
      </c>
      <c r="B39" s="54" t="s">
        <v>103</v>
      </c>
      <c r="C39" s="55">
        <v>0</v>
      </c>
      <c r="D39" s="56">
        <v>0</v>
      </c>
      <c r="E39" s="57">
        <v>150000</v>
      </c>
      <c r="F39" s="57">
        <v>0</v>
      </c>
      <c r="G39" s="41">
        <f t="shared" si="1"/>
        <v>0</v>
      </c>
      <c r="H39" s="41">
        <v>150000</v>
      </c>
      <c r="I39" s="35" t="s">
        <v>93</v>
      </c>
    </row>
    <row r="40" spans="1:9" ht="24.05" customHeight="1" x14ac:dyDescent="0.2">
      <c r="A40" s="54">
        <v>4281</v>
      </c>
      <c r="B40" s="54" t="s">
        <v>58</v>
      </c>
      <c r="C40" s="55">
        <v>0</v>
      </c>
      <c r="D40" s="56">
        <v>14500</v>
      </c>
      <c r="E40" s="57">
        <v>25000</v>
      </c>
      <c r="F40" s="57">
        <v>0</v>
      </c>
      <c r="G40" s="41">
        <f>D40+F40</f>
        <v>14500</v>
      </c>
      <c r="H40" s="41">
        <v>0</v>
      </c>
      <c r="I40" s="13"/>
    </row>
    <row r="41" spans="1:9" ht="24.05" customHeight="1" x14ac:dyDescent="0.2">
      <c r="A41" s="54">
        <v>4290</v>
      </c>
      <c r="B41" s="54" t="s">
        <v>33</v>
      </c>
      <c r="C41" s="55">
        <v>602</v>
      </c>
      <c r="D41" s="56">
        <v>200</v>
      </c>
      <c r="E41" s="57">
        <v>2500</v>
      </c>
      <c r="F41" s="57">
        <f>580+620</f>
        <v>1200</v>
      </c>
      <c r="G41" s="41">
        <f>D41+F41</f>
        <v>1400</v>
      </c>
      <c r="H41" s="41">
        <v>2500</v>
      </c>
      <c r="I41" s="35" t="s">
        <v>63</v>
      </c>
    </row>
    <row r="42" spans="1:9" ht="29.95" x14ac:dyDescent="0.2">
      <c r="A42" s="54">
        <v>4301</v>
      </c>
      <c r="B42" s="54" t="s">
        <v>34</v>
      </c>
      <c r="C42" s="55">
        <v>6992</v>
      </c>
      <c r="D42" s="56">
        <v>8504</v>
      </c>
      <c r="E42" s="57">
        <v>10000</v>
      </c>
      <c r="F42" s="57">
        <f>E42-D42</f>
        <v>1496</v>
      </c>
      <c r="G42" s="41">
        <f>D42+F42</f>
        <v>10000</v>
      </c>
      <c r="H42" s="41">
        <v>13000</v>
      </c>
      <c r="I42" s="35" t="s">
        <v>82</v>
      </c>
    </row>
    <row r="43" spans="1:9" ht="44.95" x14ac:dyDescent="0.2">
      <c r="A43" s="54">
        <v>4350</v>
      </c>
      <c r="B43" s="54" t="s">
        <v>77</v>
      </c>
      <c r="C43" s="55">
        <v>31477</v>
      </c>
      <c r="D43" s="56">
        <v>16412</v>
      </c>
      <c r="E43" s="57">
        <v>31398</v>
      </c>
      <c r="F43" s="57">
        <f>8205.75</f>
        <v>8205.75</v>
      </c>
      <c r="G43" s="41">
        <f>D43+F43</f>
        <v>24617.75</v>
      </c>
      <c r="H43" s="41">
        <f>34000*2</f>
        <v>68000</v>
      </c>
      <c r="I43" s="35" t="s">
        <v>76</v>
      </c>
    </row>
    <row r="44" spans="1:9" ht="28.55" customHeight="1" x14ac:dyDescent="0.2">
      <c r="A44" s="54">
        <v>4351</v>
      </c>
      <c r="B44" s="54" t="s">
        <v>47</v>
      </c>
      <c r="C44" s="55">
        <v>39461</v>
      </c>
      <c r="D44" s="56">
        <v>10929</v>
      </c>
      <c r="E44" s="57">
        <v>42500</v>
      </c>
      <c r="F44" s="57">
        <f>E44-D44</f>
        <v>31571</v>
      </c>
      <c r="G44" s="41">
        <f t="shared" si="1"/>
        <v>42500</v>
      </c>
      <c r="H44" s="41">
        <v>42500</v>
      </c>
      <c r="I44" s="51" t="s">
        <v>53</v>
      </c>
    </row>
    <row r="45" spans="1:9" ht="28.55" customHeight="1" x14ac:dyDescent="0.2">
      <c r="A45" s="54">
        <v>4353</v>
      </c>
      <c r="B45" s="54" t="s">
        <v>48</v>
      </c>
      <c r="C45" s="61">
        <v>36055</v>
      </c>
      <c r="D45" s="56">
        <v>15449</v>
      </c>
      <c r="E45" s="62">
        <v>26000</v>
      </c>
      <c r="F45" s="57">
        <f t="shared" ref="F45:F46" si="2">E45-D45</f>
        <v>10551</v>
      </c>
      <c r="G45" s="41">
        <f>D45+F45</f>
        <v>26000</v>
      </c>
      <c r="H45" s="279">
        <v>50000</v>
      </c>
      <c r="I45" s="276" t="s">
        <v>83</v>
      </c>
    </row>
    <row r="46" spans="1:9" ht="28.55" customHeight="1" x14ac:dyDescent="0.2">
      <c r="A46" s="54">
        <v>4354</v>
      </c>
      <c r="B46" s="54" t="s">
        <v>49</v>
      </c>
      <c r="C46" s="61">
        <v>20370</v>
      </c>
      <c r="D46" s="56">
        <v>14815</v>
      </c>
      <c r="E46" s="62">
        <v>20000</v>
      </c>
      <c r="F46" s="57">
        <f t="shared" si="2"/>
        <v>5185</v>
      </c>
      <c r="G46" s="41">
        <f t="shared" si="1"/>
        <v>20000</v>
      </c>
      <c r="H46" s="280"/>
      <c r="I46" s="277"/>
    </row>
    <row r="47" spans="1:9" ht="28.55" customHeight="1" x14ac:dyDescent="0.2">
      <c r="A47" s="54">
        <v>4355</v>
      </c>
      <c r="B47" s="54" t="s">
        <v>50</v>
      </c>
      <c r="C47" s="61">
        <v>11880</v>
      </c>
      <c r="D47" s="56">
        <v>24648</v>
      </c>
      <c r="E47" s="62">
        <v>20000</v>
      </c>
      <c r="F47" s="57">
        <v>0</v>
      </c>
      <c r="G47" s="41">
        <f t="shared" si="1"/>
        <v>24648</v>
      </c>
      <c r="H47" s="281"/>
      <c r="I47" s="278"/>
    </row>
    <row r="48" spans="1:9" ht="28.55" customHeight="1" x14ac:dyDescent="0.2">
      <c r="A48" s="54">
        <v>4357</v>
      </c>
      <c r="B48" s="54" t="s">
        <v>55</v>
      </c>
      <c r="C48" s="55">
        <v>10000</v>
      </c>
      <c r="D48" s="56">
        <v>-20000</v>
      </c>
      <c r="E48" s="57">
        <v>0</v>
      </c>
      <c r="F48" s="62">
        <v>0</v>
      </c>
      <c r="G48" s="41">
        <v>0</v>
      </c>
      <c r="H48" s="41">
        <v>0</v>
      </c>
      <c r="I48" s="52" t="s">
        <v>104</v>
      </c>
    </row>
    <row r="49" spans="1:9" ht="28.55" customHeight="1" x14ac:dyDescent="0.2">
      <c r="A49" s="54">
        <v>4358</v>
      </c>
      <c r="B49" s="54" t="s">
        <v>52</v>
      </c>
      <c r="C49" s="55">
        <v>862</v>
      </c>
      <c r="D49" s="56">
        <v>-800</v>
      </c>
      <c r="E49" s="57">
        <v>1200</v>
      </c>
      <c r="F49" s="57">
        <v>250</v>
      </c>
      <c r="G49" s="41">
        <v>250</v>
      </c>
      <c r="H49" s="41">
        <v>250</v>
      </c>
      <c r="I49" s="47"/>
    </row>
    <row r="50" spans="1:9" ht="28.55" customHeight="1" x14ac:dyDescent="0.2">
      <c r="A50" s="54">
        <v>4359</v>
      </c>
      <c r="B50" s="54" t="s">
        <v>54</v>
      </c>
      <c r="C50" s="55">
        <v>3442</v>
      </c>
      <c r="D50" s="56">
        <v>0</v>
      </c>
      <c r="E50" s="57">
        <v>200</v>
      </c>
      <c r="F50" s="57">
        <v>0</v>
      </c>
      <c r="G50" s="41">
        <f t="shared" si="1"/>
        <v>0</v>
      </c>
      <c r="H50" s="41">
        <v>200</v>
      </c>
      <c r="I50" s="13"/>
    </row>
    <row r="51" spans="1:9" ht="31.7" x14ac:dyDescent="0.2">
      <c r="A51" s="54">
        <v>4360</v>
      </c>
      <c r="B51" s="54" t="s">
        <v>62</v>
      </c>
      <c r="C51" s="55">
        <v>0</v>
      </c>
      <c r="D51" s="56">
        <v>10000</v>
      </c>
      <c r="E51" s="57">
        <v>10000</v>
      </c>
      <c r="F51" s="57">
        <v>0</v>
      </c>
      <c r="G51" s="41">
        <f>D51+F51</f>
        <v>10000</v>
      </c>
      <c r="H51" s="41">
        <v>20000</v>
      </c>
      <c r="I51" s="35" t="s">
        <v>84</v>
      </c>
    </row>
    <row r="52" spans="1:9" ht="24.05" customHeight="1" x14ac:dyDescent="0.2">
      <c r="A52" s="63">
        <v>4386</v>
      </c>
      <c r="B52" s="63" t="s">
        <v>35</v>
      </c>
      <c r="C52" s="55">
        <v>5351</v>
      </c>
      <c r="D52" s="56">
        <v>7326</v>
      </c>
      <c r="E52" s="57">
        <v>5300</v>
      </c>
      <c r="F52" s="57">
        <f>1093.3*1</f>
        <v>1093.3</v>
      </c>
      <c r="G52" s="41">
        <f>D52+F52</f>
        <v>8419.2999999999993</v>
      </c>
      <c r="H52" s="41">
        <f>(1050*4)+1000</f>
        <v>5200</v>
      </c>
      <c r="I52" s="35" t="s">
        <v>105</v>
      </c>
    </row>
    <row r="53" spans="1:9" ht="29.95" x14ac:dyDescent="0.2">
      <c r="A53" s="270" t="s">
        <v>5</v>
      </c>
      <c r="B53" s="270"/>
      <c r="C53" s="10" t="s">
        <v>64</v>
      </c>
      <c r="D53" s="273" t="s">
        <v>65</v>
      </c>
      <c r="E53" s="274"/>
      <c r="F53" s="274"/>
      <c r="G53" s="275"/>
      <c r="H53" s="10" t="s">
        <v>66</v>
      </c>
      <c r="I53" s="272" t="s">
        <v>0</v>
      </c>
    </row>
    <row r="54" spans="1:9" ht="35.15" customHeight="1" x14ac:dyDescent="0.2">
      <c r="A54" s="270"/>
      <c r="B54" s="270"/>
      <c r="C54" s="46" t="s">
        <v>1</v>
      </c>
      <c r="D54" s="44" t="s">
        <v>67</v>
      </c>
      <c r="E54" s="44" t="s">
        <v>2</v>
      </c>
      <c r="F54" s="44" t="s">
        <v>56</v>
      </c>
      <c r="G54" s="44" t="s">
        <v>3</v>
      </c>
      <c r="H54" s="44" t="s">
        <v>4</v>
      </c>
      <c r="I54" s="272"/>
    </row>
    <row r="55" spans="1:9" ht="24.05" customHeight="1" x14ac:dyDescent="0.2">
      <c r="A55" s="54">
        <v>4390</v>
      </c>
      <c r="B55" s="54" t="s">
        <v>108</v>
      </c>
      <c r="C55" s="55">
        <v>390</v>
      </c>
      <c r="D55" s="56">
        <v>200</v>
      </c>
      <c r="E55" s="57">
        <v>180</v>
      </c>
      <c r="F55" s="57">
        <v>0</v>
      </c>
      <c r="G55" s="41">
        <f t="shared" si="1"/>
        <v>200</v>
      </c>
      <c r="H55" s="41">
        <v>500</v>
      </c>
      <c r="I55" s="51" t="s">
        <v>107</v>
      </c>
    </row>
    <row r="56" spans="1:9" ht="24.8" customHeight="1" x14ac:dyDescent="0.2">
      <c r="A56" s="54">
        <v>4391</v>
      </c>
      <c r="B56" s="54" t="s">
        <v>36</v>
      </c>
      <c r="C56" s="55">
        <v>0</v>
      </c>
      <c r="D56" s="56">
        <v>0</v>
      </c>
      <c r="E56" s="57">
        <v>1000</v>
      </c>
      <c r="F56" s="57">
        <v>0</v>
      </c>
      <c r="G56" s="41">
        <f t="shared" si="1"/>
        <v>0</v>
      </c>
      <c r="H56" s="41">
        <v>500</v>
      </c>
      <c r="I56" s="51" t="s">
        <v>106</v>
      </c>
    </row>
    <row r="57" spans="1:9" ht="24.8" customHeight="1" x14ac:dyDescent="0.2">
      <c r="A57" s="63">
        <v>4395</v>
      </c>
      <c r="B57" s="63" t="s">
        <v>37</v>
      </c>
      <c r="C57" s="55">
        <v>1200</v>
      </c>
      <c r="D57" s="56">
        <v>0</v>
      </c>
      <c r="E57" s="57">
        <v>3500</v>
      </c>
      <c r="F57" s="57">
        <v>1300</v>
      </c>
      <c r="G57" s="41">
        <f>D57+F57</f>
        <v>1300</v>
      </c>
      <c r="H57" s="41">
        <v>1400</v>
      </c>
      <c r="I57" s="35" t="s">
        <v>109</v>
      </c>
    </row>
    <row r="58" spans="1:9" ht="33.15" customHeight="1" thickBot="1" x14ac:dyDescent="0.25">
      <c r="A58" s="14"/>
      <c r="C58" s="15">
        <f t="shared" ref="C58:H58" si="3">SUM(C4:C57)</f>
        <v>292834</v>
      </c>
      <c r="D58" s="15">
        <f t="shared" si="3"/>
        <v>198261</v>
      </c>
      <c r="E58" s="15">
        <f t="shared" si="3"/>
        <v>514493</v>
      </c>
      <c r="F58" s="15">
        <f t="shared" si="3"/>
        <v>110697.27290540542</v>
      </c>
      <c r="G58" s="15">
        <f t="shared" si="3"/>
        <v>331120.27290540538</v>
      </c>
      <c r="H58" s="15">
        <f t="shared" si="3"/>
        <v>551809.84476351354</v>
      </c>
      <c r="I58" s="16"/>
    </row>
    <row r="59" spans="1:9" ht="14.25" customHeight="1" thickTop="1" x14ac:dyDescent="0.2">
      <c r="F59" s="17"/>
      <c r="G59" s="17"/>
      <c r="H59" s="17"/>
      <c r="I59" s="16"/>
    </row>
    <row r="60" spans="1:9" ht="29.95" x14ac:dyDescent="0.2">
      <c r="A60" s="271" t="s">
        <v>38</v>
      </c>
      <c r="B60" s="271"/>
      <c r="C60" s="10" t="s">
        <v>64</v>
      </c>
      <c r="D60" s="273" t="s">
        <v>65</v>
      </c>
      <c r="E60" s="274"/>
      <c r="F60" s="274"/>
      <c r="G60" s="275"/>
      <c r="H60" s="10" t="s">
        <v>66</v>
      </c>
      <c r="I60" s="272" t="s">
        <v>0</v>
      </c>
    </row>
    <row r="61" spans="1:9" ht="29.95" x14ac:dyDescent="0.2">
      <c r="A61" s="271"/>
      <c r="B61" s="271"/>
      <c r="C61" s="45" t="s">
        <v>1</v>
      </c>
      <c r="D61" s="43" t="s">
        <v>68</v>
      </c>
      <c r="E61" s="43" t="s">
        <v>2</v>
      </c>
      <c r="F61" s="43" t="s">
        <v>57</v>
      </c>
      <c r="G61" s="43" t="s">
        <v>3</v>
      </c>
      <c r="H61" s="44" t="s">
        <v>4</v>
      </c>
      <c r="I61" s="272"/>
    </row>
    <row r="62" spans="1:9" ht="15" x14ac:dyDescent="0.25">
      <c r="A62" s="64">
        <v>1076</v>
      </c>
      <c r="B62" s="65" t="s">
        <v>39</v>
      </c>
      <c r="C62" s="41">
        <v>316389</v>
      </c>
      <c r="D62" s="41">
        <v>434015</v>
      </c>
      <c r="E62" s="41">
        <v>434015</v>
      </c>
      <c r="F62" s="41">
        <v>0</v>
      </c>
      <c r="G62" s="41">
        <f>D62+F62</f>
        <v>434015</v>
      </c>
      <c r="H62" s="34">
        <f>33.3*13163.4</f>
        <v>438341.22</v>
      </c>
      <c r="I62" s="35" t="s">
        <v>72</v>
      </c>
    </row>
    <row r="63" spans="1:9" ht="26.25" customHeight="1" x14ac:dyDescent="0.25">
      <c r="A63" s="64">
        <v>1090</v>
      </c>
      <c r="B63" s="65" t="s">
        <v>40</v>
      </c>
      <c r="C63" s="41">
        <v>841</v>
      </c>
      <c r="D63" s="41">
        <v>324</v>
      </c>
      <c r="E63" s="41">
        <v>600</v>
      </c>
      <c r="F63" s="41">
        <v>200</v>
      </c>
      <c r="G63" s="41">
        <f>D63+F63</f>
        <v>524</v>
      </c>
      <c r="H63" s="41">
        <v>600</v>
      </c>
      <c r="I63" s="13"/>
    </row>
    <row r="64" spans="1:9" ht="26.25" customHeight="1" x14ac:dyDescent="0.25">
      <c r="A64" s="64">
        <v>1091</v>
      </c>
      <c r="B64" s="65" t="s">
        <v>44</v>
      </c>
      <c r="C64" s="41">
        <v>18</v>
      </c>
      <c r="D64" s="41">
        <v>16</v>
      </c>
      <c r="E64" s="41">
        <v>0</v>
      </c>
      <c r="F64" s="41">
        <v>10</v>
      </c>
      <c r="G64" s="41">
        <f>D64+F64</f>
        <v>26</v>
      </c>
      <c r="H64" s="41">
        <v>30</v>
      </c>
      <c r="I64" s="13"/>
    </row>
    <row r="65" spans="1:13" ht="26.25" customHeight="1" x14ac:dyDescent="0.25">
      <c r="A65" s="64">
        <v>1301</v>
      </c>
      <c r="B65" s="65" t="s">
        <v>41</v>
      </c>
      <c r="C65" s="41">
        <v>18269</v>
      </c>
      <c r="D65" s="41">
        <v>17980</v>
      </c>
      <c r="E65" s="41">
        <v>17956</v>
      </c>
      <c r="F65" s="41">
        <v>0</v>
      </c>
      <c r="G65" s="41">
        <f>D65+F65</f>
        <v>17980</v>
      </c>
      <c r="H65" s="41">
        <v>17956</v>
      </c>
      <c r="I65" s="13"/>
    </row>
    <row r="66" spans="1:13" ht="26.25" customHeight="1" x14ac:dyDescent="0.25">
      <c r="A66" s="64">
        <v>1405</v>
      </c>
      <c r="B66" s="65" t="s">
        <v>42</v>
      </c>
      <c r="C66" s="41">
        <v>300</v>
      </c>
      <c r="D66" s="41">
        <v>50</v>
      </c>
      <c r="E66" s="41">
        <v>0</v>
      </c>
      <c r="F66" s="41">
        <v>25</v>
      </c>
      <c r="G66" s="41">
        <f>D66+F66</f>
        <v>75</v>
      </c>
      <c r="H66" s="41">
        <v>0</v>
      </c>
      <c r="I66" s="13"/>
    </row>
    <row r="67" spans="1:13" ht="26.25" customHeight="1" x14ac:dyDescent="0.25">
      <c r="A67" s="64">
        <v>1406</v>
      </c>
      <c r="B67" s="65" t="s">
        <v>71</v>
      </c>
      <c r="C67" s="41">
        <v>325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13"/>
    </row>
    <row r="68" spans="1:13" ht="20.3" customHeight="1" thickBot="1" x14ac:dyDescent="0.25">
      <c r="A68" s="18"/>
      <c r="B68" s="18"/>
      <c r="C68" s="15">
        <f t="shared" ref="C68:E68" si="4">SUM(C62:C67)</f>
        <v>336142</v>
      </c>
      <c r="D68" s="49">
        <f>SUM(D62:D67)</f>
        <v>452385</v>
      </c>
      <c r="E68" s="15">
        <f t="shared" si="4"/>
        <v>452571</v>
      </c>
      <c r="F68" s="49">
        <f>SUM(F62:F67)</f>
        <v>235</v>
      </c>
      <c r="G68" s="66">
        <f>SUM(G62:G67)</f>
        <v>452620</v>
      </c>
      <c r="H68" s="49">
        <f>SUM(H62:H67)</f>
        <v>456927.22</v>
      </c>
      <c r="I68" s="13"/>
    </row>
    <row r="69" spans="1:13" ht="11.25" customHeight="1" thickTop="1" x14ac:dyDescent="0.2">
      <c r="C69" s="19"/>
      <c r="D69" s="19"/>
      <c r="E69" s="20"/>
      <c r="F69" s="21"/>
      <c r="G69" s="21"/>
      <c r="H69" s="21"/>
    </row>
    <row r="70" spans="1:13" s="22" customFormat="1" ht="29.25" customHeight="1" x14ac:dyDescent="0.2">
      <c r="A70" s="50" t="s">
        <v>43</v>
      </c>
      <c r="B70" s="40"/>
      <c r="C70" s="42">
        <f>SUM(C68-C58)</f>
        <v>43308</v>
      </c>
      <c r="D70" s="42"/>
      <c r="E70" s="42">
        <f>SUM(E68-E58)</f>
        <v>-61922</v>
      </c>
      <c r="F70" s="5"/>
      <c r="G70" s="42">
        <f>SUM(G68-G58)</f>
        <v>121499.72709459462</v>
      </c>
      <c r="H70" s="42">
        <f>SUM(H68-H58)</f>
        <v>-94882.624763513566</v>
      </c>
      <c r="I70" s="40" t="s">
        <v>59</v>
      </c>
      <c r="K70" s="23"/>
      <c r="L70" s="24"/>
      <c r="M70" s="24"/>
    </row>
    <row r="71" spans="1:13" s="4" customFormat="1" ht="8.25" customHeight="1" x14ac:dyDescent="0.2">
      <c r="A71" s="25"/>
      <c r="C71" s="26"/>
      <c r="D71" s="26"/>
      <c r="F71" s="27"/>
      <c r="G71" s="27"/>
      <c r="K71" s="28"/>
      <c r="L71" s="29"/>
      <c r="M71" s="29"/>
    </row>
    <row r="72" spans="1:13" s="4" customFormat="1" ht="20.3" customHeight="1" x14ac:dyDescent="0.2">
      <c r="A72" s="36" t="s">
        <v>73</v>
      </c>
      <c r="C72" s="26"/>
      <c r="D72" s="26"/>
      <c r="F72" s="27"/>
      <c r="G72" s="27"/>
      <c r="K72" s="28"/>
      <c r="L72" s="29"/>
      <c r="M72" s="29"/>
    </row>
    <row r="73" spans="1:13" s="30" customFormat="1" ht="20.3" customHeight="1" x14ac:dyDescent="0.2">
      <c r="A73" s="37" t="s">
        <v>74</v>
      </c>
      <c r="B73" s="4"/>
      <c r="F73" s="39">
        <v>211383</v>
      </c>
    </row>
    <row r="74" spans="1:13" s="30" customFormat="1" ht="20.3" customHeight="1" x14ac:dyDescent="0.2">
      <c r="A74" s="36" t="s">
        <v>60</v>
      </c>
      <c r="B74" s="37"/>
      <c r="C74" s="37"/>
      <c r="D74" s="37"/>
      <c r="F74" s="38"/>
    </row>
    <row r="75" spans="1:13" s="30" customFormat="1" ht="20.3" customHeight="1" x14ac:dyDescent="0.2">
      <c r="A75" s="37" t="s">
        <v>87</v>
      </c>
      <c r="B75" s="37"/>
      <c r="C75" s="37"/>
      <c r="D75" s="37"/>
      <c r="F75" s="39" t="e">
        <f>Reserves!#REF!</f>
        <v>#REF!</v>
      </c>
    </row>
    <row r="76" spans="1:13" s="30" customFormat="1" ht="20.3" customHeight="1" x14ac:dyDescent="0.2">
      <c r="A76" s="36" t="s">
        <v>61</v>
      </c>
      <c r="B76" s="4"/>
      <c r="C76" s="4"/>
      <c r="D76" s="4"/>
      <c r="F76" s="5"/>
    </row>
    <row r="77" spans="1:13" s="30" customFormat="1" ht="20.3" customHeight="1" x14ac:dyDescent="0.2">
      <c r="A77" s="40" t="s">
        <v>75</v>
      </c>
      <c r="B77" s="4"/>
      <c r="C77" s="4"/>
      <c r="D77" s="4"/>
      <c r="F77" s="39">
        <f>G70</f>
        <v>121499.72709459462</v>
      </c>
    </row>
    <row r="78" spans="1:13" s="30" customFormat="1" ht="20.3" customHeight="1" x14ac:dyDescent="0.2">
      <c r="A78" s="36" t="s">
        <v>60</v>
      </c>
      <c r="B78" s="4"/>
      <c r="C78" s="4"/>
      <c r="D78" s="4"/>
      <c r="F78" s="5"/>
      <c r="G78" s="67"/>
    </row>
    <row r="79" spans="1:13" s="30" customFormat="1" ht="20.3" customHeight="1" x14ac:dyDescent="0.2">
      <c r="A79" s="40" t="s">
        <v>85</v>
      </c>
      <c r="B79" s="4"/>
      <c r="C79" s="4"/>
      <c r="D79" s="4"/>
      <c r="F79" s="42">
        <f>H70</f>
        <v>-94882.624763513566</v>
      </c>
    </row>
    <row r="80" spans="1:13" s="30" customFormat="1" ht="10.55" customHeight="1" x14ac:dyDescent="0.2">
      <c r="A80" s="40"/>
      <c r="B80" s="4"/>
      <c r="C80" s="4"/>
      <c r="D80" s="4"/>
      <c r="E80" s="5"/>
    </row>
    <row r="81" spans="1:9" s="4" customFormat="1" ht="20.3" customHeight="1" thickBot="1" x14ac:dyDescent="0.25">
      <c r="A81" s="70" t="s">
        <v>86</v>
      </c>
      <c r="B81" s="71"/>
      <c r="C81" s="37"/>
      <c r="D81" s="72"/>
      <c r="E81" s="37"/>
      <c r="F81" s="73" t="e">
        <f>F73-F75+F77+F79</f>
        <v>#REF!</v>
      </c>
      <c r="G81" s="2"/>
      <c r="I81" s="27"/>
    </row>
    <row r="82" spans="1:9" s="4" customFormat="1" ht="15.55" thickTop="1" x14ac:dyDescent="0.2">
      <c r="A82" s="3"/>
      <c r="F82" s="5"/>
      <c r="G82" s="1"/>
      <c r="H82" s="27"/>
      <c r="I82" s="27"/>
    </row>
    <row r="83" spans="1:9" s="18" customFormat="1" ht="20.3" customHeight="1" x14ac:dyDescent="0.2">
      <c r="E83" s="31"/>
    </row>
    <row r="84" spans="1:9" s="18" customFormat="1" ht="20.3" customHeight="1" x14ac:dyDescent="0.2">
      <c r="B84" s="32"/>
      <c r="C84" s="33"/>
      <c r="D84" s="33"/>
      <c r="E84" s="31"/>
    </row>
    <row r="85" spans="1:9" s="18" customFormat="1" ht="20.3" customHeight="1" x14ac:dyDescent="0.2">
      <c r="B85" s="32"/>
      <c r="C85" s="33"/>
      <c r="D85" s="33"/>
      <c r="E85" s="31"/>
    </row>
  </sheetData>
  <sheetProtection selectLockedCells="1" selectUnlockedCells="1"/>
  <mergeCells count="14">
    <mergeCell ref="A2:B3"/>
    <mergeCell ref="A60:B61"/>
    <mergeCell ref="I60:I61"/>
    <mergeCell ref="I2:I3"/>
    <mergeCell ref="D60:G60"/>
    <mergeCell ref="D2:G2"/>
    <mergeCell ref="I45:I47"/>
    <mergeCell ref="H45:H47"/>
    <mergeCell ref="A28:B29"/>
    <mergeCell ref="D28:G28"/>
    <mergeCell ref="I28:I29"/>
    <mergeCell ref="A53:B54"/>
    <mergeCell ref="D53:G53"/>
    <mergeCell ref="I53:I54"/>
  </mergeCells>
  <phoneticPr fontId="25" type="noConversion"/>
  <pageMargins left="0.62992125984251968" right="0.23622047244094491" top="0.55118110236220474" bottom="0.94488188976377963" header="0.31496062992125984" footer="0.31496062992125984"/>
  <pageSetup paperSize="9" scale="72" fitToHeight="0" orientation="landscape" horizontalDpi="300" verticalDpi="300" r:id="rId1"/>
  <headerFooter alignWithMargins="0">
    <oddFooter>&amp;L&amp;12&amp;Z&amp;F&amp;R&amp;12&amp;P</oddFooter>
  </headerFooter>
  <rowBreaks count="2" manualBreakCount="2">
    <brk id="27" max="8" man="1"/>
    <brk id="5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DE550-3738-48C5-B1C2-D88BADB2C32B}">
  <sheetPr>
    <pageSetUpPr fitToPage="1"/>
  </sheetPr>
  <dimension ref="A1:K86"/>
  <sheetViews>
    <sheetView tabSelected="1" showWhiteSpace="0" zoomScale="85" zoomScaleNormal="85" zoomScalePageLayoutView="70" workbookViewId="0"/>
  </sheetViews>
  <sheetFormatPr defaultColWidth="9.109375" defaultRowHeight="29.55" customHeight="1" x14ac:dyDescent="0.2"/>
  <cols>
    <col min="1" max="1" width="7.33203125" style="224" customWidth="1"/>
    <col min="2" max="2" width="34.6640625" style="188" customWidth="1"/>
    <col min="3" max="3" width="14.77734375" style="189" customWidth="1"/>
    <col min="4" max="4" width="16.21875" style="74" customWidth="1"/>
    <col min="5" max="5" width="18.77734375" style="188" customWidth="1"/>
    <col min="6" max="6" width="16.6640625" style="18" customWidth="1"/>
    <col min="7" max="7" width="18.33203125" style="18" customWidth="1"/>
    <col min="8" max="8" width="20.33203125" style="18" customWidth="1"/>
    <col min="9" max="9" width="86.6640625" style="18" bestFit="1" customWidth="1"/>
    <col min="10" max="16384" width="9.109375" style="18"/>
  </cols>
  <sheetData>
    <row r="1" spans="1:11" s="188" customFormat="1" ht="29.55" customHeight="1" x14ac:dyDescent="0.2">
      <c r="A1" s="121" t="s">
        <v>237</v>
      </c>
      <c r="C1" s="189"/>
      <c r="D1" s="189"/>
      <c r="I1" s="190"/>
      <c r="J1" s="191"/>
    </row>
    <row r="2" spans="1:11" s="188" customFormat="1" ht="29.55" customHeight="1" x14ac:dyDescent="0.2">
      <c r="A2" s="282" t="s">
        <v>5</v>
      </c>
      <c r="B2" s="282"/>
      <c r="C2" s="269" t="s">
        <v>200</v>
      </c>
      <c r="D2" s="272" t="s">
        <v>201</v>
      </c>
      <c r="E2" s="272"/>
      <c r="F2" s="272"/>
      <c r="G2" s="272"/>
      <c r="H2" s="285" t="s">
        <v>202</v>
      </c>
      <c r="I2" s="285"/>
      <c r="K2" s="188" t="s">
        <v>185</v>
      </c>
    </row>
    <row r="3" spans="1:11" ht="44.95" x14ac:dyDescent="0.2">
      <c r="A3" s="282"/>
      <c r="B3" s="282"/>
      <c r="C3" s="46" t="s">
        <v>1</v>
      </c>
      <c r="D3" s="44" t="s">
        <v>236</v>
      </c>
      <c r="E3" s="44" t="s">
        <v>2</v>
      </c>
      <c r="F3" s="44" t="s">
        <v>56</v>
      </c>
      <c r="G3" s="44" t="s">
        <v>3</v>
      </c>
      <c r="H3" s="44" t="s">
        <v>4</v>
      </c>
      <c r="I3" s="65" t="s">
        <v>0</v>
      </c>
    </row>
    <row r="4" spans="1:11" ht="29.55" customHeight="1" x14ac:dyDescent="0.2">
      <c r="A4" s="214">
        <v>4000</v>
      </c>
      <c r="B4" s="214" t="s">
        <v>6</v>
      </c>
      <c r="C4" s="101">
        <v>72429</v>
      </c>
      <c r="D4" s="101">
        <v>54356</v>
      </c>
      <c r="E4" s="101">
        <v>73878</v>
      </c>
      <c r="F4" s="99">
        <f>6035.77*3</f>
        <v>18107.310000000001</v>
      </c>
      <c r="G4" s="34">
        <f>D4+F4</f>
        <v>72463.31</v>
      </c>
      <c r="H4" s="100">
        <f>E4*102%</f>
        <v>75355.56</v>
      </c>
      <c r="I4" s="51" t="s">
        <v>125</v>
      </c>
    </row>
    <row r="5" spans="1:11" ht="29.55" customHeight="1" x14ac:dyDescent="0.2">
      <c r="A5" s="214">
        <v>4001</v>
      </c>
      <c r="B5" s="214" t="s">
        <v>7</v>
      </c>
      <c r="C5" s="101">
        <v>6359</v>
      </c>
      <c r="D5" s="101">
        <v>4750</v>
      </c>
      <c r="E5" s="101">
        <v>6486</v>
      </c>
      <c r="F5" s="99">
        <f>527.82*3</f>
        <v>1583.46</v>
      </c>
      <c r="G5" s="34">
        <f>D5+F5</f>
        <v>6333.46</v>
      </c>
      <c r="H5" s="100">
        <f>E5*103.25%</f>
        <v>6696.7950000000001</v>
      </c>
      <c r="I5" s="52" t="s">
        <v>231</v>
      </c>
    </row>
    <row r="6" spans="1:11" ht="29.55" customHeight="1" x14ac:dyDescent="0.2">
      <c r="A6" s="214">
        <v>4002</v>
      </c>
      <c r="B6" s="214" t="s">
        <v>8</v>
      </c>
      <c r="C6" s="101">
        <v>17383</v>
      </c>
      <c r="D6" s="101">
        <v>12494</v>
      </c>
      <c r="E6" s="101">
        <v>17731</v>
      </c>
      <c r="F6" s="99">
        <f>1388.23*3</f>
        <v>4164.6900000000005</v>
      </c>
      <c r="G6" s="34">
        <f>D6+F6</f>
        <v>16658.690000000002</v>
      </c>
      <c r="H6" s="100">
        <f>H4/100*23</f>
        <v>17331.7788</v>
      </c>
      <c r="I6" s="51" t="s">
        <v>208</v>
      </c>
    </row>
    <row r="7" spans="1:11" ht="29.55" customHeight="1" x14ac:dyDescent="0.2">
      <c r="A7" s="214">
        <v>4003</v>
      </c>
      <c r="B7" s="214" t="s">
        <v>230</v>
      </c>
      <c r="C7" s="101">
        <v>0</v>
      </c>
      <c r="D7" s="101">
        <v>900</v>
      </c>
      <c r="E7" s="101">
        <v>2000</v>
      </c>
      <c r="F7" s="101">
        <v>1100</v>
      </c>
      <c r="G7" s="34">
        <f t="shared" ref="G7:G51" si="0">D7+F7</f>
        <v>2000</v>
      </c>
      <c r="H7" s="100">
        <v>4000</v>
      </c>
      <c r="I7" s="6"/>
    </row>
    <row r="8" spans="1:11" ht="29.55" customHeight="1" x14ac:dyDescent="0.2">
      <c r="A8" s="214">
        <v>4004</v>
      </c>
      <c r="B8" s="214" t="s">
        <v>9</v>
      </c>
      <c r="C8" s="101">
        <v>35</v>
      </c>
      <c r="D8" s="101">
        <v>0</v>
      </c>
      <c r="E8" s="101">
        <v>150</v>
      </c>
      <c r="F8" s="101">
        <v>40</v>
      </c>
      <c r="G8" s="34">
        <f>D8+F8</f>
        <v>40</v>
      </c>
      <c r="H8" s="100">
        <v>150</v>
      </c>
      <c r="I8" s="11"/>
    </row>
    <row r="9" spans="1:11" ht="29.55" customHeight="1" x14ac:dyDescent="0.2">
      <c r="A9" s="214">
        <v>4005</v>
      </c>
      <c r="B9" s="214" t="s">
        <v>10</v>
      </c>
      <c r="C9" s="101">
        <v>200</v>
      </c>
      <c r="D9" s="101">
        <v>274</v>
      </c>
      <c r="E9" s="101">
        <v>3000</v>
      </c>
      <c r="F9" s="101">
        <v>25</v>
      </c>
      <c r="G9" s="34">
        <f t="shared" si="0"/>
        <v>299</v>
      </c>
      <c r="H9" s="100">
        <v>2000</v>
      </c>
      <c r="I9" s="11"/>
    </row>
    <row r="10" spans="1:11" ht="29.55" customHeight="1" x14ac:dyDescent="0.2">
      <c r="A10" s="214">
        <v>4106</v>
      </c>
      <c r="B10" s="215" t="s">
        <v>222</v>
      </c>
      <c r="C10" s="101">
        <v>0</v>
      </c>
      <c r="D10" s="101">
        <v>0</v>
      </c>
      <c r="E10" s="101">
        <v>500</v>
      </c>
      <c r="F10" s="101">
        <v>50</v>
      </c>
      <c r="G10" s="34">
        <f t="shared" si="0"/>
        <v>50</v>
      </c>
      <c r="H10" s="100">
        <v>550</v>
      </c>
      <c r="I10" s="51"/>
    </row>
    <row r="11" spans="1:11" ht="29.55" customHeight="1" x14ac:dyDescent="0.2">
      <c r="A11" s="214">
        <v>4112</v>
      </c>
      <c r="B11" s="214" t="s">
        <v>12</v>
      </c>
      <c r="C11" s="101">
        <v>390</v>
      </c>
      <c r="D11" s="101">
        <v>0</v>
      </c>
      <c r="E11" s="101">
        <v>500</v>
      </c>
      <c r="F11" s="101">
        <v>450</v>
      </c>
      <c r="G11" s="34">
        <f t="shared" si="0"/>
        <v>450</v>
      </c>
      <c r="H11" s="100">
        <v>500</v>
      </c>
      <c r="I11" s="13"/>
    </row>
    <row r="12" spans="1:11" ht="29.55" customHeight="1" x14ac:dyDescent="0.2">
      <c r="A12" s="214">
        <v>4113</v>
      </c>
      <c r="B12" s="214" t="s">
        <v>13</v>
      </c>
      <c r="C12" s="101">
        <v>1600</v>
      </c>
      <c r="D12" s="101">
        <v>0</v>
      </c>
      <c r="E12" s="101">
        <v>1300</v>
      </c>
      <c r="F12" s="101">
        <v>1300</v>
      </c>
      <c r="G12" s="34">
        <f t="shared" si="0"/>
        <v>1300</v>
      </c>
      <c r="H12" s="100">
        <v>1300</v>
      </c>
      <c r="I12" s="48" t="s">
        <v>159</v>
      </c>
    </row>
    <row r="13" spans="1:11" ht="29.55" customHeight="1" x14ac:dyDescent="0.2">
      <c r="A13" s="214">
        <v>4115</v>
      </c>
      <c r="B13" s="214" t="s">
        <v>14</v>
      </c>
      <c r="C13" s="101">
        <v>315</v>
      </c>
      <c r="D13" s="101">
        <v>133</v>
      </c>
      <c r="E13" s="101">
        <v>300</v>
      </c>
      <c r="F13" s="101">
        <f>17.5*3</f>
        <v>52.5</v>
      </c>
      <c r="G13" s="34">
        <f>D13+F13</f>
        <v>185.5</v>
      </c>
      <c r="H13" s="100">
        <v>300</v>
      </c>
      <c r="I13" s="12"/>
    </row>
    <row r="14" spans="1:11" ht="36.299999999999997" customHeight="1" x14ac:dyDescent="0.2">
      <c r="A14" s="214">
        <v>4118</v>
      </c>
      <c r="B14" s="214" t="s">
        <v>15</v>
      </c>
      <c r="C14" s="101">
        <v>987</v>
      </c>
      <c r="D14" s="101">
        <v>975</v>
      </c>
      <c r="E14" s="101">
        <v>200</v>
      </c>
      <c r="F14" s="101">
        <f>86</f>
        <v>86</v>
      </c>
      <c r="G14" s="34">
        <f>D14+F14</f>
        <v>1061</v>
      </c>
      <c r="H14" s="100">
        <v>1200</v>
      </c>
      <c r="I14" s="51" t="s">
        <v>214</v>
      </c>
    </row>
    <row r="15" spans="1:11" ht="34.6" customHeight="1" x14ac:dyDescent="0.2">
      <c r="A15" s="214">
        <v>4125</v>
      </c>
      <c r="B15" s="214" t="s">
        <v>17</v>
      </c>
      <c r="C15" s="101">
        <v>4277</v>
      </c>
      <c r="D15" s="101">
        <v>5894</v>
      </c>
      <c r="E15" s="101">
        <v>4708</v>
      </c>
      <c r="F15" s="101">
        <f>(562.46*3)-136.42</f>
        <v>1550.96</v>
      </c>
      <c r="G15" s="34">
        <f>D15+F15</f>
        <v>7444.96</v>
      </c>
      <c r="H15" s="100">
        <f>5015+30+1000</f>
        <v>6045</v>
      </c>
      <c r="I15" s="51" t="s">
        <v>213</v>
      </c>
    </row>
    <row r="16" spans="1:11" ht="31.7" customHeight="1" x14ac:dyDescent="0.2">
      <c r="A16" s="214">
        <v>4126</v>
      </c>
      <c r="B16" s="214" t="s">
        <v>18</v>
      </c>
      <c r="C16" s="101">
        <v>260</v>
      </c>
      <c r="D16" s="101">
        <v>260</v>
      </c>
      <c r="E16" s="101">
        <v>1786</v>
      </c>
      <c r="F16" s="101">
        <v>0</v>
      </c>
      <c r="G16" s="34">
        <f t="shared" si="0"/>
        <v>260</v>
      </c>
      <c r="H16" s="100">
        <f>2200+270</f>
        <v>2470</v>
      </c>
      <c r="I16" s="51" t="s">
        <v>212</v>
      </c>
    </row>
    <row r="17" spans="1:10" ht="29.55" customHeight="1" x14ac:dyDescent="0.2">
      <c r="A17" s="214">
        <v>4128</v>
      </c>
      <c r="B17" s="214" t="s">
        <v>19</v>
      </c>
      <c r="C17" s="101">
        <v>0</v>
      </c>
      <c r="D17" s="101">
        <v>5178</v>
      </c>
      <c r="E17" s="101">
        <v>8000</v>
      </c>
      <c r="F17" s="101">
        <v>0</v>
      </c>
      <c r="G17" s="34">
        <f t="shared" si="0"/>
        <v>5178</v>
      </c>
      <c r="H17" s="100">
        <v>8000</v>
      </c>
      <c r="I17" s="51" t="s">
        <v>215</v>
      </c>
    </row>
    <row r="18" spans="1:10" ht="29.55" customHeight="1" x14ac:dyDescent="0.2">
      <c r="A18" s="214">
        <v>4131</v>
      </c>
      <c r="B18" s="214" t="s">
        <v>20</v>
      </c>
      <c r="C18" s="101">
        <v>278</v>
      </c>
      <c r="D18" s="101">
        <v>145</v>
      </c>
      <c r="E18" s="101">
        <v>530</v>
      </c>
      <c r="F18" s="101">
        <v>0</v>
      </c>
      <c r="G18" s="34">
        <f t="shared" si="0"/>
        <v>145</v>
      </c>
      <c r="H18" s="100">
        <v>530</v>
      </c>
      <c r="I18" s="13"/>
    </row>
    <row r="19" spans="1:10" ht="29.55" customHeight="1" x14ac:dyDescent="0.2">
      <c r="A19" s="214">
        <v>4132</v>
      </c>
      <c r="B19" s="214" t="s">
        <v>21</v>
      </c>
      <c r="C19" s="101">
        <v>120</v>
      </c>
      <c r="D19" s="101">
        <v>0</v>
      </c>
      <c r="E19" s="101">
        <v>250</v>
      </c>
      <c r="F19" s="101">
        <v>0</v>
      </c>
      <c r="G19" s="34">
        <f t="shared" si="0"/>
        <v>0</v>
      </c>
      <c r="H19" s="100">
        <v>250</v>
      </c>
      <c r="I19" s="12"/>
    </row>
    <row r="20" spans="1:10" ht="29.55" customHeight="1" x14ac:dyDescent="0.2">
      <c r="A20" s="214">
        <v>4133</v>
      </c>
      <c r="B20" s="214" t="s">
        <v>22</v>
      </c>
      <c r="C20" s="101">
        <v>2737</v>
      </c>
      <c r="D20" s="101">
        <v>5229</v>
      </c>
      <c r="E20" s="101">
        <v>4000</v>
      </c>
      <c r="F20" s="101">
        <v>0</v>
      </c>
      <c r="G20" s="34">
        <f t="shared" si="0"/>
        <v>5229</v>
      </c>
      <c r="H20" s="100">
        <v>4000</v>
      </c>
      <c r="I20" s="47" t="s">
        <v>97</v>
      </c>
    </row>
    <row r="21" spans="1:10" ht="29.55" customHeight="1" x14ac:dyDescent="0.2">
      <c r="A21" s="214">
        <v>4136</v>
      </c>
      <c r="B21" s="214" t="s">
        <v>23</v>
      </c>
      <c r="C21" s="101">
        <v>2596</v>
      </c>
      <c r="D21" s="101">
        <v>0</v>
      </c>
      <c r="E21" s="101">
        <v>5000</v>
      </c>
      <c r="F21" s="101">
        <v>0</v>
      </c>
      <c r="G21" s="34">
        <f t="shared" si="0"/>
        <v>0</v>
      </c>
      <c r="H21" s="100">
        <v>5000</v>
      </c>
      <c r="I21" s="47"/>
    </row>
    <row r="22" spans="1:10" ht="29.55" customHeight="1" x14ac:dyDescent="0.2">
      <c r="A22" s="214">
        <v>4137</v>
      </c>
      <c r="B22" s="214" t="s">
        <v>204</v>
      </c>
      <c r="C22" s="101">
        <v>0</v>
      </c>
      <c r="D22" s="101">
        <v>450</v>
      </c>
      <c r="E22" s="101">
        <v>0</v>
      </c>
      <c r="F22" s="104">
        <f>150*7</f>
        <v>1050</v>
      </c>
      <c r="G22" s="104">
        <f t="shared" si="0"/>
        <v>1500</v>
      </c>
      <c r="H22" s="104">
        <f>150*12</f>
        <v>1800</v>
      </c>
      <c r="I22" s="47" t="s">
        <v>209</v>
      </c>
    </row>
    <row r="23" spans="1:10" ht="29.55" customHeight="1" x14ac:dyDescent="0.2">
      <c r="A23" s="214">
        <v>4140</v>
      </c>
      <c r="B23" s="214" t="s">
        <v>24</v>
      </c>
      <c r="C23" s="101">
        <v>3363</v>
      </c>
      <c r="D23" s="101">
        <v>693</v>
      </c>
      <c r="E23" s="101">
        <v>2000</v>
      </c>
      <c r="F23" s="101">
        <v>851</v>
      </c>
      <c r="G23" s="34">
        <f t="shared" si="0"/>
        <v>1544</v>
      </c>
      <c r="H23" s="100">
        <v>2500</v>
      </c>
      <c r="I23" s="51" t="s">
        <v>223</v>
      </c>
    </row>
    <row r="24" spans="1:10" ht="29.55" customHeight="1" x14ac:dyDescent="0.2">
      <c r="A24" s="214">
        <v>4141</v>
      </c>
      <c r="B24" s="214" t="s">
        <v>25</v>
      </c>
      <c r="C24" s="101">
        <v>11060</v>
      </c>
      <c r="D24" s="101">
        <v>10000</v>
      </c>
      <c r="E24" s="101">
        <v>10000</v>
      </c>
      <c r="F24" s="101">
        <v>0</v>
      </c>
      <c r="G24" s="34">
        <f t="shared" si="0"/>
        <v>10000</v>
      </c>
      <c r="H24" s="100">
        <v>10000</v>
      </c>
      <c r="I24" s="53"/>
    </row>
    <row r="25" spans="1:10" ht="29.55" customHeight="1" x14ac:dyDescent="0.2">
      <c r="A25" s="214">
        <v>4142</v>
      </c>
      <c r="B25" s="214" t="s">
        <v>26</v>
      </c>
      <c r="C25" s="101">
        <v>3239</v>
      </c>
      <c r="D25" s="101">
        <v>562</v>
      </c>
      <c r="E25" s="101">
        <v>2500</v>
      </c>
      <c r="F25" s="101">
        <v>225</v>
      </c>
      <c r="G25" s="34">
        <f>D25+F25</f>
        <v>787</v>
      </c>
      <c r="H25" s="105">
        <v>2500</v>
      </c>
      <c r="I25" s="51" t="s">
        <v>165</v>
      </c>
      <c r="J25" s="283"/>
    </row>
    <row r="26" spans="1:10" ht="29.55" customHeight="1" x14ac:dyDescent="0.2">
      <c r="A26" s="214">
        <v>4143</v>
      </c>
      <c r="B26" s="214" t="s">
        <v>115</v>
      </c>
      <c r="C26" s="101">
        <v>4845</v>
      </c>
      <c r="D26" s="101">
        <v>8455</v>
      </c>
      <c r="E26" s="101">
        <v>4000</v>
      </c>
      <c r="F26" s="101">
        <v>0</v>
      </c>
      <c r="G26" s="34">
        <f t="shared" si="0"/>
        <v>8455</v>
      </c>
      <c r="H26" s="105">
        <v>2200</v>
      </c>
      <c r="I26" s="47" t="s">
        <v>224</v>
      </c>
      <c r="J26" s="283"/>
    </row>
    <row r="27" spans="1:10" ht="29.55" customHeight="1" x14ac:dyDescent="0.2">
      <c r="A27" s="214">
        <v>4145</v>
      </c>
      <c r="B27" s="214" t="s">
        <v>27</v>
      </c>
      <c r="C27" s="101">
        <v>478</v>
      </c>
      <c r="D27" s="101">
        <v>623</v>
      </c>
      <c r="E27" s="101">
        <v>525</v>
      </c>
      <c r="F27" s="101">
        <v>0</v>
      </c>
      <c r="G27" s="34">
        <f t="shared" si="0"/>
        <v>623</v>
      </c>
      <c r="H27" s="100">
        <v>525</v>
      </c>
      <c r="I27" s="53" t="s">
        <v>91</v>
      </c>
    </row>
    <row r="28" spans="1:10" ht="29.55" customHeight="1" x14ac:dyDescent="0.2">
      <c r="A28" s="214">
        <v>4146</v>
      </c>
      <c r="B28" s="214" t="s">
        <v>28</v>
      </c>
      <c r="C28" s="101">
        <v>0</v>
      </c>
      <c r="D28" s="101">
        <v>0</v>
      </c>
      <c r="E28" s="101">
        <v>400</v>
      </c>
      <c r="F28" s="101">
        <v>0</v>
      </c>
      <c r="G28" s="34">
        <f t="shared" si="0"/>
        <v>0</v>
      </c>
      <c r="H28" s="100">
        <v>400</v>
      </c>
      <c r="I28" s="47"/>
    </row>
    <row r="29" spans="1:10" ht="29.55" customHeight="1" x14ac:dyDescent="0.2">
      <c r="A29" s="214">
        <v>4148</v>
      </c>
      <c r="B29" s="214" t="s">
        <v>225</v>
      </c>
      <c r="C29" s="101">
        <v>68</v>
      </c>
      <c r="D29" s="101">
        <v>5</v>
      </c>
      <c r="E29" s="101">
        <v>150</v>
      </c>
      <c r="F29" s="101">
        <v>100</v>
      </c>
      <c r="G29" s="34">
        <f t="shared" si="0"/>
        <v>105</v>
      </c>
      <c r="H29" s="100">
        <v>150</v>
      </c>
      <c r="I29" s="47"/>
    </row>
    <row r="30" spans="1:10" ht="29.55" customHeight="1" x14ac:dyDescent="0.2">
      <c r="A30" s="214">
        <v>4151</v>
      </c>
      <c r="B30" s="214" t="s">
        <v>116</v>
      </c>
      <c r="C30" s="101">
        <v>79822</v>
      </c>
      <c r="D30" s="101">
        <v>516</v>
      </c>
      <c r="E30" s="101">
        <v>0</v>
      </c>
      <c r="F30" s="101">
        <v>0</v>
      </c>
      <c r="G30" s="34">
        <f t="shared" si="0"/>
        <v>516</v>
      </c>
      <c r="H30" s="100">
        <v>0</v>
      </c>
      <c r="I30" s="51" t="s">
        <v>130</v>
      </c>
    </row>
    <row r="31" spans="1:10" ht="29.55" customHeight="1" x14ac:dyDescent="0.2">
      <c r="A31" s="214">
        <v>4153</v>
      </c>
      <c r="B31" s="214" t="s">
        <v>30</v>
      </c>
      <c r="C31" s="101">
        <v>168</v>
      </c>
      <c r="D31" s="101">
        <v>46</v>
      </c>
      <c r="E31" s="101">
        <v>750</v>
      </c>
      <c r="F31" s="101">
        <f>80+50</f>
        <v>130</v>
      </c>
      <c r="G31" s="34">
        <f>D31+F31</f>
        <v>176</v>
      </c>
      <c r="H31" s="100">
        <v>750</v>
      </c>
      <c r="I31" s="51" t="s">
        <v>51</v>
      </c>
    </row>
    <row r="32" spans="1:10" ht="29.55" customHeight="1" x14ac:dyDescent="0.2">
      <c r="A32" s="214">
        <v>4154</v>
      </c>
      <c r="B32" s="214" t="s">
        <v>31</v>
      </c>
      <c r="C32" s="101">
        <v>3001</v>
      </c>
      <c r="D32" s="101">
        <v>3060</v>
      </c>
      <c r="E32" s="101">
        <v>3100</v>
      </c>
      <c r="F32" s="101">
        <v>0</v>
      </c>
      <c r="G32" s="34">
        <f t="shared" si="0"/>
        <v>3060</v>
      </c>
      <c r="H32" s="100">
        <v>3125</v>
      </c>
      <c r="I32" s="51" t="s">
        <v>210</v>
      </c>
    </row>
    <row r="33" spans="1:9" ht="29.55" customHeight="1" x14ac:dyDescent="0.2">
      <c r="A33" s="214">
        <v>4162</v>
      </c>
      <c r="B33" s="214" t="s">
        <v>32</v>
      </c>
      <c r="C33" s="101">
        <v>0</v>
      </c>
      <c r="D33" s="101">
        <v>0</v>
      </c>
      <c r="E33" s="101">
        <v>2000</v>
      </c>
      <c r="F33" s="101">
        <v>0</v>
      </c>
      <c r="G33" s="34">
        <f t="shared" si="0"/>
        <v>0</v>
      </c>
      <c r="H33" s="100">
        <v>2000</v>
      </c>
      <c r="I33" s="47"/>
    </row>
    <row r="34" spans="1:9" ht="29.55" customHeight="1" x14ac:dyDescent="0.2">
      <c r="A34" s="214">
        <v>4203</v>
      </c>
      <c r="B34" s="214" t="s">
        <v>46</v>
      </c>
      <c r="C34" s="101">
        <v>5370</v>
      </c>
      <c r="D34" s="101">
        <v>5370</v>
      </c>
      <c r="E34" s="101">
        <v>5370</v>
      </c>
      <c r="F34" s="101">
        <v>0</v>
      </c>
      <c r="G34" s="34">
        <f t="shared" si="0"/>
        <v>5370</v>
      </c>
      <c r="H34" s="100">
        <v>5370</v>
      </c>
      <c r="I34" s="47" t="s">
        <v>92</v>
      </c>
    </row>
    <row r="35" spans="1:9" ht="52" customHeight="1" x14ac:dyDescent="0.2">
      <c r="A35" s="214">
        <v>4236</v>
      </c>
      <c r="B35" s="214" t="s">
        <v>70</v>
      </c>
      <c r="C35" s="101">
        <v>20000</v>
      </c>
      <c r="D35" s="101">
        <v>35000</v>
      </c>
      <c r="E35" s="101">
        <v>35000</v>
      </c>
      <c r="F35" s="101">
        <v>0</v>
      </c>
      <c r="G35" s="34">
        <f>D35+F35</f>
        <v>35000</v>
      </c>
      <c r="H35" s="100">
        <v>35000</v>
      </c>
      <c r="I35" s="35" t="s">
        <v>174</v>
      </c>
    </row>
    <row r="36" spans="1:9" ht="29.55" customHeight="1" x14ac:dyDescent="0.2">
      <c r="A36" s="214">
        <v>4259</v>
      </c>
      <c r="B36" s="214" t="s">
        <v>128</v>
      </c>
      <c r="C36" s="101">
        <v>0</v>
      </c>
      <c r="D36" s="101">
        <v>0</v>
      </c>
      <c r="E36" s="101">
        <v>10000</v>
      </c>
      <c r="F36" s="101">
        <v>0</v>
      </c>
      <c r="G36" s="34">
        <f>D36+F36</f>
        <v>0</v>
      </c>
      <c r="H36" s="100">
        <v>10000</v>
      </c>
      <c r="I36" s="47" t="s">
        <v>228</v>
      </c>
    </row>
    <row r="37" spans="1:9" ht="49.1" customHeight="1" x14ac:dyDescent="0.2">
      <c r="A37" s="214">
        <v>4280</v>
      </c>
      <c r="B37" s="214" t="s">
        <v>103</v>
      </c>
      <c r="C37" s="101">
        <v>-32650</v>
      </c>
      <c r="D37" s="101">
        <v>0</v>
      </c>
      <c r="E37" s="101">
        <v>150000</v>
      </c>
      <c r="F37" s="101">
        <v>47233.48</v>
      </c>
      <c r="G37" s="34">
        <f t="shared" si="0"/>
        <v>47233.48</v>
      </c>
      <c r="H37" s="100">
        <v>150000</v>
      </c>
      <c r="I37" s="78"/>
    </row>
    <row r="38" spans="1:9" ht="29.55" customHeight="1" x14ac:dyDescent="0.2">
      <c r="A38" s="214">
        <v>4290</v>
      </c>
      <c r="B38" s="214" t="s">
        <v>33</v>
      </c>
      <c r="C38" s="101">
        <v>0</v>
      </c>
      <c r="D38" s="101">
        <v>0</v>
      </c>
      <c r="E38" s="101">
        <v>2500</v>
      </c>
      <c r="F38" s="101">
        <v>0</v>
      </c>
      <c r="G38" s="34">
        <f t="shared" si="0"/>
        <v>0</v>
      </c>
      <c r="H38" s="100">
        <v>2500</v>
      </c>
      <c r="I38" s="35" t="s">
        <v>171</v>
      </c>
    </row>
    <row r="39" spans="1:9" ht="29.55" customHeight="1" x14ac:dyDescent="0.2">
      <c r="A39" s="214">
        <v>4291</v>
      </c>
      <c r="B39" s="214" t="s">
        <v>117</v>
      </c>
      <c r="C39" s="101">
        <v>0</v>
      </c>
      <c r="D39" s="101">
        <v>0</v>
      </c>
      <c r="E39" s="101">
        <v>15000</v>
      </c>
      <c r="F39" s="101">
        <v>0</v>
      </c>
      <c r="G39" s="34">
        <f t="shared" si="0"/>
        <v>0</v>
      </c>
      <c r="H39" s="100">
        <v>5000</v>
      </c>
      <c r="I39" s="13"/>
    </row>
    <row r="40" spans="1:9" ht="36" customHeight="1" x14ac:dyDescent="0.2">
      <c r="A40" s="214">
        <v>4301</v>
      </c>
      <c r="B40" s="214" t="s">
        <v>34</v>
      </c>
      <c r="C40" s="101">
        <v>12149</v>
      </c>
      <c r="D40" s="101">
        <v>8944</v>
      </c>
      <c r="E40" s="101">
        <v>14250</v>
      </c>
      <c r="F40" s="101">
        <f>E40-D40</f>
        <v>5306</v>
      </c>
      <c r="G40" s="34">
        <f>D40+F40</f>
        <v>14250</v>
      </c>
      <c r="H40" s="100">
        <f>E40*102%</f>
        <v>14535</v>
      </c>
      <c r="I40" s="35" t="s">
        <v>172</v>
      </c>
    </row>
    <row r="41" spans="1:9" ht="59.9" x14ac:dyDescent="0.2">
      <c r="A41" s="214">
        <v>4350</v>
      </c>
      <c r="B41" s="214" t="s">
        <v>77</v>
      </c>
      <c r="C41" s="101">
        <v>69000</v>
      </c>
      <c r="D41" s="101">
        <v>54000</v>
      </c>
      <c r="E41" s="101">
        <v>73440</v>
      </c>
      <c r="F41" s="101">
        <f>72000-D41</f>
        <v>18000</v>
      </c>
      <c r="G41" s="34">
        <f t="shared" si="0"/>
        <v>72000</v>
      </c>
      <c r="H41" s="100">
        <f>72000*102%</f>
        <v>73440</v>
      </c>
      <c r="I41" s="35" t="s">
        <v>163</v>
      </c>
    </row>
    <row r="42" spans="1:9" ht="33.549999999999997" customHeight="1" x14ac:dyDescent="0.2">
      <c r="A42" s="214">
        <v>4351</v>
      </c>
      <c r="B42" s="214" t="s">
        <v>47</v>
      </c>
      <c r="C42" s="101">
        <v>16661</v>
      </c>
      <c r="D42" s="101">
        <v>10132</v>
      </c>
      <c r="E42" s="101">
        <v>59500</v>
      </c>
      <c r="F42" s="101">
        <f>[2]CALCULATION!$J$17-D42</f>
        <v>53159.5</v>
      </c>
      <c r="G42" s="34">
        <f>D42+F42</f>
        <v>63291.5</v>
      </c>
      <c r="H42" s="100">
        <f>[2]CALCULATION!$K$12</f>
        <v>46291.5</v>
      </c>
      <c r="I42" s="51" t="s">
        <v>226</v>
      </c>
    </row>
    <row r="43" spans="1:9" ht="29.55" customHeight="1" x14ac:dyDescent="0.2">
      <c r="A43" s="214">
        <v>4353</v>
      </c>
      <c r="B43" s="214" t="s">
        <v>118</v>
      </c>
      <c r="C43" s="101">
        <v>70002</v>
      </c>
      <c r="D43" s="101">
        <v>82914</v>
      </c>
      <c r="E43" s="101">
        <v>50000</v>
      </c>
      <c r="F43" s="101">
        <f>[3]Applications!$C$10+[3]Applications!$C$11</f>
        <v>21859</v>
      </c>
      <c r="G43" s="34">
        <f t="shared" si="0"/>
        <v>104773</v>
      </c>
      <c r="H43" s="294">
        <v>100000</v>
      </c>
      <c r="I43" s="233"/>
    </row>
    <row r="44" spans="1:9" ht="29.55" customHeight="1" x14ac:dyDescent="0.2">
      <c r="A44" s="214">
        <v>4359</v>
      </c>
      <c r="B44" s="214" t="s">
        <v>54</v>
      </c>
      <c r="C44" s="101">
        <v>0</v>
      </c>
      <c r="D44" s="101">
        <v>0</v>
      </c>
      <c r="E44" s="101">
        <v>200</v>
      </c>
      <c r="F44" s="101">
        <v>0</v>
      </c>
      <c r="G44" s="34">
        <f t="shared" si="0"/>
        <v>0</v>
      </c>
      <c r="H44" s="106">
        <v>200</v>
      </c>
      <c r="I44" s="233"/>
    </row>
    <row r="45" spans="1:9" ht="29.55" customHeight="1" x14ac:dyDescent="0.2">
      <c r="A45" s="214">
        <v>4361</v>
      </c>
      <c r="B45" s="214" t="s">
        <v>119</v>
      </c>
      <c r="C45" s="101">
        <v>0</v>
      </c>
      <c r="D45" s="101">
        <v>20000</v>
      </c>
      <c r="E45" s="101">
        <v>20000</v>
      </c>
      <c r="F45" s="101">
        <v>0</v>
      </c>
      <c r="G45" s="34">
        <f t="shared" si="0"/>
        <v>20000</v>
      </c>
      <c r="H45" s="104">
        <v>0</v>
      </c>
      <c r="I45" s="35"/>
    </row>
    <row r="46" spans="1:9" ht="31.7" customHeight="1" x14ac:dyDescent="0.2">
      <c r="A46" s="214">
        <v>4362</v>
      </c>
      <c r="B46" s="215" t="s">
        <v>166</v>
      </c>
      <c r="C46" s="101">
        <v>0</v>
      </c>
      <c r="D46" s="101">
        <v>0</v>
      </c>
      <c r="E46" s="101">
        <v>40000</v>
      </c>
      <c r="F46" s="101">
        <v>0</v>
      </c>
      <c r="G46" s="34">
        <f t="shared" si="0"/>
        <v>0</v>
      </c>
      <c r="H46" s="100">
        <v>40000</v>
      </c>
      <c r="I46" s="47" t="s">
        <v>228</v>
      </c>
    </row>
    <row r="47" spans="1:9" ht="29.55" customHeight="1" x14ac:dyDescent="0.2">
      <c r="A47" s="214">
        <v>4386</v>
      </c>
      <c r="B47" s="214" t="s">
        <v>35</v>
      </c>
      <c r="C47" s="101">
        <v>4905</v>
      </c>
      <c r="D47" s="101">
        <v>2355</v>
      </c>
      <c r="E47" s="101">
        <v>5300</v>
      </c>
      <c r="F47" s="101">
        <f>1177.8*2</f>
        <v>2355.6</v>
      </c>
      <c r="G47" s="34">
        <f t="shared" si="0"/>
        <v>4710.6000000000004</v>
      </c>
      <c r="H47" s="100">
        <v>5300</v>
      </c>
      <c r="I47" s="35" t="s">
        <v>105</v>
      </c>
    </row>
    <row r="48" spans="1:9" ht="29.55" customHeight="1" x14ac:dyDescent="0.2">
      <c r="A48" s="214">
        <v>4390</v>
      </c>
      <c r="B48" s="214" t="s">
        <v>113</v>
      </c>
      <c r="C48" s="101">
        <v>0</v>
      </c>
      <c r="D48" s="101">
        <v>400</v>
      </c>
      <c r="E48" s="101">
        <v>550</v>
      </c>
      <c r="F48" s="101">
        <v>0</v>
      </c>
      <c r="G48" s="34">
        <f t="shared" si="0"/>
        <v>400</v>
      </c>
      <c r="H48" s="100">
        <f>225+325+325+200</f>
        <v>1075</v>
      </c>
      <c r="I48" s="47" t="s">
        <v>216</v>
      </c>
    </row>
    <row r="49" spans="1:9" ht="29.55" customHeight="1" x14ac:dyDescent="0.2">
      <c r="A49" s="214">
        <v>4391</v>
      </c>
      <c r="B49" s="214" t="s">
        <v>36</v>
      </c>
      <c r="C49" s="101">
        <v>0</v>
      </c>
      <c r="D49" s="101">
        <v>0</v>
      </c>
      <c r="E49" s="101">
        <v>500</v>
      </c>
      <c r="F49" s="101">
        <v>500</v>
      </c>
      <c r="G49" s="34">
        <f t="shared" si="0"/>
        <v>500</v>
      </c>
      <c r="H49" s="100">
        <v>500</v>
      </c>
      <c r="I49" s="47"/>
    </row>
    <row r="50" spans="1:9" ht="29.55" customHeight="1" x14ac:dyDescent="0.2">
      <c r="A50" s="214">
        <v>4395</v>
      </c>
      <c r="B50" s="214" t="s">
        <v>37</v>
      </c>
      <c r="C50" s="101">
        <v>0</v>
      </c>
      <c r="D50" s="101">
        <v>325</v>
      </c>
      <c r="E50" s="101">
        <v>2000</v>
      </c>
      <c r="F50" s="101">
        <v>0</v>
      </c>
      <c r="G50" s="34">
        <f t="shared" si="0"/>
        <v>325</v>
      </c>
      <c r="H50" s="100">
        <v>2000</v>
      </c>
      <c r="I50" s="47" t="s">
        <v>227</v>
      </c>
    </row>
    <row r="51" spans="1:9" ht="29.55" customHeight="1" x14ac:dyDescent="0.2">
      <c r="A51" s="214">
        <v>4397</v>
      </c>
      <c r="B51" s="214" t="s">
        <v>199</v>
      </c>
      <c r="C51" s="101">
        <v>4964</v>
      </c>
      <c r="D51" s="101">
        <v>0</v>
      </c>
      <c r="E51" s="101">
        <v>0</v>
      </c>
      <c r="F51" s="101">
        <v>0</v>
      </c>
      <c r="G51" s="34">
        <f t="shared" si="0"/>
        <v>0</v>
      </c>
      <c r="H51" s="41">
        <v>0</v>
      </c>
      <c r="I51" s="47"/>
    </row>
    <row r="52" spans="1:9" ht="29.55" customHeight="1" thickBot="1" x14ac:dyDescent="0.25">
      <c r="A52" s="223"/>
      <c r="B52" s="47"/>
      <c r="C52" s="192">
        <f t="shared" ref="C52:H52" si="1">SUM(C4:C51)</f>
        <v>386411</v>
      </c>
      <c r="D52" s="192">
        <f t="shared" si="1"/>
        <v>334438</v>
      </c>
      <c r="E52" s="192">
        <f t="shared" si="1"/>
        <v>639354</v>
      </c>
      <c r="F52" s="192">
        <f t="shared" si="1"/>
        <v>179279.5</v>
      </c>
      <c r="G52" s="192">
        <f t="shared" si="1"/>
        <v>513717.5</v>
      </c>
      <c r="H52" s="15">
        <f t="shared" si="1"/>
        <v>652840.63379999995</v>
      </c>
      <c r="I52" s="16"/>
    </row>
    <row r="53" spans="1:9" ht="29.55" customHeight="1" thickTop="1" x14ac:dyDescent="0.2">
      <c r="A53" s="268"/>
      <c r="B53" s="47"/>
      <c r="C53" s="204"/>
      <c r="D53" s="94"/>
      <c r="E53" s="47"/>
      <c r="F53" s="76"/>
      <c r="G53" s="76"/>
      <c r="H53" s="17"/>
      <c r="I53" s="16"/>
    </row>
    <row r="54" spans="1:9" ht="29.55" customHeight="1" x14ac:dyDescent="0.2">
      <c r="A54" s="284" t="s">
        <v>38</v>
      </c>
      <c r="B54" s="284"/>
      <c r="C54" s="269" t="s">
        <v>200</v>
      </c>
      <c r="D54" s="272" t="s">
        <v>201</v>
      </c>
      <c r="E54" s="272"/>
      <c r="F54" s="272"/>
      <c r="G54" s="272"/>
      <c r="H54" s="285" t="s">
        <v>202</v>
      </c>
      <c r="I54" s="285"/>
    </row>
    <row r="55" spans="1:9" ht="44.95" x14ac:dyDescent="0.2">
      <c r="A55" s="284"/>
      <c r="B55" s="284"/>
      <c r="C55" s="46" t="s">
        <v>1</v>
      </c>
      <c r="D55" s="44" t="s">
        <v>236</v>
      </c>
      <c r="E55" s="44" t="s">
        <v>2</v>
      </c>
      <c r="F55" s="44" t="s">
        <v>57</v>
      </c>
      <c r="G55" s="44" t="s">
        <v>3</v>
      </c>
      <c r="H55" s="44" t="s">
        <v>4</v>
      </c>
      <c r="I55" s="65" t="s">
        <v>0</v>
      </c>
    </row>
    <row r="56" spans="1:9" ht="35.6" customHeight="1" x14ac:dyDescent="0.2">
      <c r="A56" s="214">
        <v>1076</v>
      </c>
      <c r="B56" s="214" t="s">
        <v>39</v>
      </c>
      <c r="C56" s="101">
        <v>566675</v>
      </c>
      <c r="D56" s="101">
        <v>560695</v>
      </c>
      <c r="E56" s="101">
        <v>560695</v>
      </c>
      <c r="F56" s="34">
        <v>0</v>
      </c>
      <c r="G56" s="34">
        <f>D56+F56</f>
        <v>560695</v>
      </c>
      <c r="H56" s="109">
        <f>'Precept options'!C15</f>
        <v>579973.18499999994</v>
      </c>
      <c r="I56" s="110" t="s">
        <v>217</v>
      </c>
    </row>
    <row r="57" spans="1:9" ht="35.6" customHeight="1" x14ac:dyDescent="0.2">
      <c r="A57" s="214">
        <v>1077</v>
      </c>
      <c r="B57" s="214" t="s">
        <v>203</v>
      </c>
      <c r="C57" s="101">
        <v>0</v>
      </c>
      <c r="D57" s="101">
        <v>8925</v>
      </c>
      <c r="E57" s="101">
        <v>8925</v>
      </c>
      <c r="F57" s="34">
        <v>0</v>
      </c>
      <c r="G57" s="34">
        <v>0</v>
      </c>
      <c r="H57" s="109">
        <v>0</v>
      </c>
      <c r="I57" s="110" t="s">
        <v>196</v>
      </c>
    </row>
    <row r="58" spans="1:9" ht="29.55" customHeight="1" x14ac:dyDescent="0.2">
      <c r="A58" s="214">
        <v>1090</v>
      </c>
      <c r="B58" s="214" t="s">
        <v>40</v>
      </c>
      <c r="C58" s="101">
        <v>554</v>
      </c>
      <c r="D58" s="101">
        <v>12</v>
      </c>
      <c r="E58" s="101">
        <v>200</v>
      </c>
      <c r="F58" s="34">
        <v>200</v>
      </c>
      <c r="G58" s="34">
        <f>D58+F58</f>
        <v>212</v>
      </c>
      <c r="H58" s="100">
        <v>200</v>
      </c>
      <c r="I58" s="13"/>
    </row>
    <row r="59" spans="1:9" ht="29.55" customHeight="1" x14ac:dyDescent="0.2">
      <c r="A59" s="214">
        <v>1091</v>
      </c>
      <c r="B59" s="214" t="s">
        <v>44</v>
      </c>
      <c r="C59" s="101">
        <v>70</v>
      </c>
      <c r="D59" s="101">
        <v>26</v>
      </c>
      <c r="E59" s="101">
        <v>35</v>
      </c>
      <c r="F59" s="34">
        <v>9</v>
      </c>
      <c r="G59" s="34">
        <f>D59+F59</f>
        <v>35</v>
      </c>
      <c r="H59" s="100">
        <v>35</v>
      </c>
      <c r="I59" s="13"/>
    </row>
    <row r="60" spans="1:9" ht="29.55" customHeight="1" x14ac:dyDescent="0.2">
      <c r="A60" s="214">
        <v>1101</v>
      </c>
      <c r="B60" s="214" t="s">
        <v>152</v>
      </c>
      <c r="C60" s="101">
        <v>10000</v>
      </c>
      <c r="D60" s="101">
        <v>0</v>
      </c>
      <c r="E60" s="101">
        <v>0</v>
      </c>
      <c r="F60" s="34">
        <v>0</v>
      </c>
      <c r="G60" s="34">
        <f>D60+F60</f>
        <v>0</v>
      </c>
      <c r="H60" s="100">
        <v>0</v>
      </c>
    </row>
    <row r="61" spans="1:9" ht="29.55" customHeight="1" x14ac:dyDescent="0.2">
      <c r="A61" s="214">
        <v>1102</v>
      </c>
      <c r="B61" s="214" t="s">
        <v>153</v>
      </c>
      <c r="C61" s="101">
        <v>100</v>
      </c>
      <c r="D61" s="101">
        <v>0</v>
      </c>
      <c r="E61" s="101">
        <v>0</v>
      </c>
      <c r="F61" s="34">
        <v>0</v>
      </c>
      <c r="G61" s="34">
        <f t="shared" ref="G61:G62" si="2">D61+F61</f>
        <v>0</v>
      </c>
      <c r="H61" s="100">
        <v>0</v>
      </c>
      <c r="I61" s="13"/>
    </row>
    <row r="62" spans="1:9" ht="29.55" customHeight="1" x14ac:dyDescent="0.2">
      <c r="A62" s="214">
        <v>1301</v>
      </c>
      <c r="B62" s="214" t="s">
        <v>41</v>
      </c>
      <c r="C62" s="101">
        <v>4</v>
      </c>
      <c r="D62" s="101">
        <v>18724</v>
      </c>
      <c r="E62" s="101">
        <v>18779</v>
      </c>
      <c r="F62" s="34">
        <v>0</v>
      </c>
      <c r="G62" s="34">
        <f t="shared" si="2"/>
        <v>18724</v>
      </c>
      <c r="H62" s="100">
        <v>19250</v>
      </c>
      <c r="I62" s="47" t="s">
        <v>211</v>
      </c>
    </row>
    <row r="63" spans="1:9" ht="29.55" customHeight="1" thickBot="1" x14ac:dyDescent="0.25">
      <c r="C63" s="15">
        <v>457989</v>
      </c>
      <c r="D63" s="15">
        <f>SUM(D56:D62)</f>
        <v>588382</v>
      </c>
      <c r="E63" s="15">
        <f>SUM(E56:E62)</f>
        <v>588634</v>
      </c>
      <c r="F63" s="15">
        <f>SUM(F56:F62)</f>
        <v>209</v>
      </c>
      <c r="G63" s="108">
        <f>SUM(G56:G62)</f>
        <v>579666</v>
      </c>
      <c r="H63" s="113">
        <f>SUM(H56:H62)</f>
        <v>599458.18499999994</v>
      </c>
    </row>
    <row r="64" spans="1:9" ht="29.55" customHeight="1" thickTop="1" x14ac:dyDescent="0.2">
      <c r="C64" s="205"/>
      <c r="D64" s="19"/>
      <c r="E64" s="193"/>
      <c r="F64" s="21"/>
      <c r="G64" s="21"/>
      <c r="H64" s="21"/>
    </row>
    <row r="65" spans="1:11" s="24" customFormat="1" ht="29.55" customHeight="1" x14ac:dyDescent="0.2">
      <c r="A65" s="97" t="s">
        <v>126</v>
      </c>
      <c r="B65" s="216"/>
      <c r="C65" s="98">
        <f>SUM(C63-C52)</f>
        <v>71578</v>
      </c>
      <c r="D65" s="81"/>
      <c r="E65" s="98">
        <f>SUM(E63-E52)</f>
        <v>-50720</v>
      </c>
      <c r="F65" s="81"/>
      <c r="G65" s="111">
        <f>SUM(G63-G52)</f>
        <v>65948.5</v>
      </c>
      <c r="H65" s="111">
        <f>SUM(H63-H52)</f>
        <v>-53382.448800000013</v>
      </c>
      <c r="I65" s="171"/>
      <c r="K65" s="23"/>
    </row>
    <row r="66" spans="1:11" ht="29.55" customHeight="1" x14ac:dyDescent="0.2">
      <c r="A66" s="222"/>
      <c r="C66" s="206"/>
      <c r="D66" s="187"/>
      <c r="E66" s="194"/>
    </row>
    <row r="67" spans="1:11" ht="29.55" customHeight="1" x14ac:dyDescent="0.2">
      <c r="A67" s="225" t="s">
        <v>73</v>
      </c>
      <c r="B67" s="217"/>
      <c r="C67" s="207"/>
      <c r="D67" s="172"/>
      <c r="E67" s="195"/>
      <c r="F67" s="28"/>
      <c r="I67" s="148"/>
    </row>
    <row r="68" spans="1:11" ht="13.1" customHeight="1" x14ac:dyDescent="0.2">
      <c r="A68" s="225"/>
      <c r="B68" s="217"/>
      <c r="C68" s="207"/>
      <c r="D68" s="172"/>
      <c r="E68" s="195"/>
      <c r="F68" s="28"/>
    </row>
    <row r="69" spans="1:11" ht="29.55" customHeight="1" x14ac:dyDescent="0.2">
      <c r="A69" s="218" t="s">
        <v>232</v>
      </c>
      <c r="B69" s="218"/>
      <c r="C69" s="196"/>
      <c r="D69" s="119"/>
      <c r="E69" s="196"/>
      <c r="F69" s="119"/>
      <c r="G69" s="249">
        <v>430952</v>
      </c>
      <c r="H69" s="124"/>
      <c r="I69" s="148"/>
    </row>
    <row r="70" spans="1:11" ht="29.55" customHeight="1" x14ac:dyDescent="0.2">
      <c r="A70" s="226" t="s">
        <v>179</v>
      </c>
      <c r="B70" s="218"/>
      <c r="C70" s="208"/>
      <c r="D70" s="118"/>
      <c r="E70" s="196"/>
      <c r="F70" s="119"/>
      <c r="G70" s="249">
        <f>Reserves!B8</f>
        <v>122000</v>
      </c>
      <c r="H70" s="125"/>
    </row>
    <row r="71" spans="1:11" ht="29.55" customHeight="1" thickBot="1" x14ac:dyDescent="0.25">
      <c r="A71" s="227"/>
      <c r="B71" s="219"/>
      <c r="C71" s="209"/>
      <c r="D71" s="120"/>
      <c r="E71" s="197"/>
      <c r="F71" s="173"/>
      <c r="G71" s="247" t="s">
        <v>177</v>
      </c>
      <c r="H71" s="250">
        <f>G69-G70</f>
        <v>308952</v>
      </c>
    </row>
    <row r="72" spans="1:11" ht="15.7" customHeight="1" thickTop="1" x14ac:dyDescent="0.2">
      <c r="A72" s="228"/>
      <c r="B72" s="201"/>
      <c r="C72" s="210"/>
      <c r="D72" s="123"/>
      <c r="E72" s="198"/>
      <c r="F72" s="174"/>
      <c r="G72" s="174"/>
      <c r="H72" s="81"/>
    </row>
    <row r="73" spans="1:11" ht="29.55" customHeight="1" x14ac:dyDescent="0.2">
      <c r="A73" s="229" t="s">
        <v>178</v>
      </c>
    </row>
    <row r="74" spans="1:11" ht="29.55" customHeight="1" x14ac:dyDescent="0.2">
      <c r="A74" s="230" t="s">
        <v>238</v>
      </c>
      <c r="B74" s="199"/>
      <c r="C74" s="211"/>
      <c r="D74" s="114"/>
      <c r="E74" s="199"/>
      <c r="F74" s="175"/>
      <c r="G74" s="251">
        <f>G52</f>
        <v>513717.5</v>
      </c>
      <c r="H74" s="188"/>
    </row>
    <row r="75" spans="1:11" ht="29.55" customHeight="1" x14ac:dyDescent="0.2">
      <c r="A75" s="230" t="s">
        <v>239</v>
      </c>
      <c r="B75" s="199"/>
      <c r="C75" s="211"/>
      <c r="D75" s="114"/>
      <c r="E75" s="199"/>
      <c r="F75" s="175"/>
      <c r="G75" s="251">
        <f>G63</f>
        <v>579666</v>
      </c>
      <c r="H75" s="188"/>
    </row>
    <row r="76" spans="1:11" ht="29.55" customHeight="1" thickBot="1" x14ac:dyDescent="0.25">
      <c r="A76" s="212"/>
      <c r="B76" s="212"/>
      <c r="C76" s="212"/>
      <c r="D76" s="114"/>
      <c r="E76" s="199"/>
      <c r="F76" s="175"/>
      <c r="G76" s="252" t="s">
        <v>129</v>
      </c>
      <c r="H76" s="253">
        <f>G74-G75</f>
        <v>-65948.5</v>
      </c>
    </row>
    <row r="77" spans="1:11" ht="29.55" customHeight="1" thickTop="1" x14ac:dyDescent="0.2">
      <c r="C77" s="188"/>
      <c r="D77" s="18"/>
    </row>
    <row r="78" spans="1:11" ht="29.55" customHeight="1" thickBot="1" x14ac:dyDescent="0.25">
      <c r="C78" s="188"/>
      <c r="D78" s="117"/>
      <c r="E78" s="200"/>
      <c r="F78" s="117"/>
      <c r="G78" s="246" t="s">
        <v>176</v>
      </c>
      <c r="H78" s="248">
        <f>H71-H76</f>
        <v>374900.5</v>
      </c>
    </row>
    <row r="79" spans="1:11" ht="16.45" customHeight="1" thickTop="1" x14ac:dyDescent="0.2">
      <c r="C79" s="188"/>
      <c r="E79" s="201"/>
      <c r="F79" s="122"/>
      <c r="G79" s="174"/>
      <c r="H79" s="81"/>
    </row>
    <row r="80" spans="1:11" ht="29.55" customHeight="1" x14ac:dyDescent="0.2">
      <c r="A80" s="229" t="s">
        <v>218</v>
      </c>
    </row>
    <row r="81" spans="1:8" ht="29.55" customHeight="1" x14ac:dyDescent="0.2">
      <c r="A81" s="231" t="s">
        <v>240</v>
      </c>
      <c r="B81" s="220"/>
      <c r="C81" s="213"/>
      <c r="D81" s="115"/>
      <c r="E81" s="202"/>
      <c r="F81" s="176"/>
      <c r="G81" s="254">
        <f>H52</f>
        <v>652840.63379999995</v>
      </c>
      <c r="H81" s="188"/>
    </row>
    <row r="82" spans="1:8" ht="29.55" customHeight="1" x14ac:dyDescent="0.2">
      <c r="A82" s="231" t="s">
        <v>241</v>
      </c>
      <c r="B82" s="221"/>
      <c r="C82" s="213"/>
      <c r="D82" s="115"/>
      <c r="E82" s="202"/>
      <c r="F82" s="176"/>
      <c r="G82" s="254">
        <f>H63</f>
        <v>599458.18499999994</v>
      </c>
      <c r="H82" s="188"/>
    </row>
    <row r="83" spans="1:8" ht="29.55" customHeight="1" thickBot="1" x14ac:dyDescent="0.25">
      <c r="A83" s="232"/>
      <c r="C83" s="213"/>
      <c r="D83" s="115"/>
      <c r="E83" s="202"/>
      <c r="F83" s="176"/>
      <c r="G83" s="255" t="s">
        <v>129</v>
      </c>
      <c r="H83" s="256">
        <f>G81-G82</f>
        <v>53382.448800000013</v>
      </c>
    </row>
    <row r="84" spans="1:8" ht="29.55" customHeight="1" thickTop="1" x14ac:dyDescent="0.2">
      <c r="A84" s="216"/>
      <c r="C84" s="195"/>
    </row>
    <row r="85" spans="1:8" ht="29.55" customHeight="1" thickBot="1" x14ac:dyDescent="0.25">
      <c r="A85" s="216"/>
      <c r="B85" s="217"/>
      <c r="C85" s="195"/>
      <c r="D85" s="177"/>
      <c r="E85" s="203"/>
      <c r="F85" s="116"/>
      <c r="G85" s="245" t="s">
        <v>219</v>
      </c>
      <c r="H85" s="257">
        <f>H78-H83</f>
        <v>321518.05119999999</v>
      </c>
    </row>
    <row r="86" spans="1:8" ht="29.55" customHeight="1" thickTop="1" x14ac:dyDescent="0.2">
      <c r="A86" s="222"/>
      <c r="B86" s="222"/>
      <c r="C86" s="195"/>
      <c r="D86" s="83"/>
      <c r="E86" s="195"/>
      <c r="F86" s="81"/>
    </row>
  </sheetData>
  <sheetProtection selectLockedCells="1" selectUnlockedCells="1"/>
  <mergeCells count="7">
    <mergeCell ref="A2:B3"/>
    <mergeCell ref="D2:G2"/>
    <mergeCell ref="H2:I2"/>
    <mergeCell ref="J25:J26"/>
    <mergeCell ref="A54:B55"/>
    <mergeCell ref="D54:G54"/>
    <mergeCell ref="H54:I54"/>
  </mergeCells>
  <printOptions headings="1"/>
  <pageMargins left="0.7" right="0.7" top="0.75" bottom="0.75" header="0.3" footer="0.3"/>
  <pageSetup paperSize="9" scale="61" fitToHeight="0" orientation="landscape" r:id="rId1"/>
  <headerFooter alignWithMargins="0">
    <oddFooter>&amp;L&amp;12&amp;Z&amp;F&amp;R&amp;12&amp;P</oddFooter>
  </headerFooter>
  <rowBreaks count="3" manualBreakCount="3">
    <brk id="24" max="8" man="1"/>
    <brk id="43" max="8" man="1"/>
    <brk id="65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9"/>
  <sheetViews>
    <sheetView zoomScaleNormal="100" workbookViewId="0">
      <selection activeCell="C13" sqref="C13"/>
    </sheetView>
  </sheetViews>
  <sheetFormatPr defaultColWidth="9.109375" defaultRowHeight="15" x14ac:dyDescent="0.2"/>
  <cols>
    <col min="1" max="1" width="66.6640625" style="169" customWidth="1"/>
    <col min="2" max="2" width="14.21875" style="169" bestFit="1" customWidth="1"/>
    <col min="3" max="3" width="38.33203125" style="265" bestFit="1" customWidth="1"/>
    <col min="4" max="16384" width="9.109375" style="169"/>
  </cols>
  <sheetData>
    <row r="1" spans="1:3" ht="24.8" x14ac:dyDescent="0.2">
      <c r="A1" s="178" t="s">
        <v>73</v>
      </c>
      <c r="B1" s="264" t="s">
        <v>120</v>
      </c>
    </row>
    <row r="2" spans="1:3" ht="44.95" x14ac:dyDescent="0.2">
      <c r="A2" s="179" t="s">
        <v>206</v>
      </c>
      <c r="B2" s="184">
        <v>100000</v>
      </c>
      <c r="C2" s="267" t="s">
        <v>229</v>
      </c>
    </row>
    <row r="3" spans="1:3" x14ac:dyDescent="0.2">
      <c r="A3" s="180"/>
      <c r="B3" s="170"/>
    </row>
    <row r="4" spans="1:3" ht="48.85" customHeight="1" x14ac:dyDescent="0.2">
      <c r="A4" s="179" t="s">
        <v>207</v>
      </c>
      <c r="B4" s="264" t="s">
        <v>120</v>
      </c>
    </row>
    <row r="5" spans="1:3" ht="17.149999999999999" customHeight="1" x14ac:dyDescent="0.2">
      <c r="A5" s="181" t="s">
        <v>121</v>
      </c>
      <c r="B5" s="182">
        <v>2000</v>
      </c>
    </row>
    <row r="6" spans="1:3" ht="29.95" x14ac:dyDescent="0.2">
      <c r="A6" s="181" t="s">
        <v>161</v>
      </c>
      <c r="B6" s="182">
        <v>20000</v>
      </c>
      <c r="C6" s="267" t="s">
        <v>229</v>
      </c>
    </row>
    <row r="7" spans="1:3" ht="24.05" customHeight="1" x14ac:dyDescent="0.2">
      <c r="A7" s="183" t="s">
        <v>122</v>
      </c>
      <c r="B7" s="184">
        <f>B5+B6</f>
        <v>22000</v>
      </c>
    </row>
    <row r="8" spans="1:3" ht="19.600000000000001" customHeight="1" thickBot="1" x14ac:dyDescent="0.25">
      <c r="A8" s="185" t="s">
        <v>123</v>
      </c>
      <c r="B8" s="186">
        <f>B7+B2</f>
        <v>122000</v>
      </c>
      <c r="C8" s="266"/>
    </row>
    <row r="9" spans="1:3" ht="15.55" thickTop="1" x14ac:dyDescent="0.2"/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>
    <oddFooter>&amp;L&amp;Z&amp;F&amp;R&amp;P</oddFooter>
  </headerFooter>
  <ignoredErrors>
    <ignoredError sqref="B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4715-7B86-4371-A0F5-F076B0089F0F}">
  <sheetPr>
    <pageSetUpPr fitToPage="1"/>
  </sheetPr>
  <dimension ref="A1:H28"/>
  <sheetViews>
    <sheetView zoomScale="85" zoomScaleNormal="85" workbookViewId="0">
      <selection activeCell="B8" sqref="B8:G8"/>
    </sheetView>
  </sheetViews>
  <sheetFormatPr defaultColWidth="9.109375" defaultRowHeight="13.85" x14ac:dyDescent="0.25"/>
  <cols>
    <col min="1" max="1" width="25.5546875" style="86" customWidth="1"/>
    <col min="2" max="2" width="13.5546875" style="86" bestFit="1" customWidth="1"/>
    <col min="3" max="3" width="16.88671875" style="86" bestFit="1" customWidth="1"/>
    <col min="4" max="4" width="15" style="86" bestFit="1" customWidth="1"/>
    <col min="5" max="5" width="13.109375" style="86" hidden="1" customWidth="1"/>
    <col min="6" max="6" width="13.33203125" style="86" customWidth="1"/>
    <col min="7" max="7" width="23.109375" style="86" customWidth="1"/>
    <col min="8" max="8" width="31.21875" style="86" bestFit="1" customWidth="1"/>
    <col min="9" max="16384" width="9.109375" style="86"/>
  </cols>
  <sheetData>
    <row r="1" spans="1:8" ht="20.2" x14ac:dyDescent="0.35">
      <c r="A1" s="128" t="s">
        <v>221</v>
      </c>
    </row>
    <row r="2" spans="1:8" ht="15" x14ac:dyDescent="0.25">
      <c r="A2" s="126"/>
    </row>
    <row r="3" spans="1:8" ht="17.3" x14ac:dyDescent="0.3">
      <c r="A3" s="127" t="s">
        <v>233</v>
      </c>
    </row>
    <row r="4" spans="1:8" ht="17.3" x14ac:dyDescent="0.3">
      <c r="A4" s="127" t="s">
        <v>234</v>
      </c>
    </row>
    <row r="5" spans="1:8" ht="17.3" x14ac:dyDescent="0.3">
      <c r="A5" s="127" t="s">
        <v>132</v>
      </c>
    </row>
    <row r="7" spans="1:8" s="244" customFormat="1" ht="34.6" x14ac:dyDescent="0.2">
      <c r="D7" s="234" t="s">
        <v>133</v>
      </c>
      <c r="E7" s="242" t="s">
        <v>133</v>
      </c>
      <c r="F7" s="243" t="s">
        <v>134</v>
      </c>
      <c r="G7" s="242" t="s">
        <v>135</v>
      </c>
      <c r="H7" s="234" t="s">
        <v>133</v>
      </c>
    </row>
    <row r="8" spans="1:8" s="241" customFormat="1" ht="34.6" x14ac:dyDescent="0.2">
      <c r="A8" s="236" t="s">
        <v>136</v>
      </c>
      <c r="B8" s="236" t="s">
        <v>137</v>
      </c>
      <c r="C8" s="237" t="s">
        <v>135</v>
      </c>
      <c r="D8" s="235" t="s">
        <v>138</v>
      </c>
      <c r="E8" s="238" t="s">
        <v>139</v>
      </c>
      <c r="F8" s="239" t="s">
        <v>140</v>
      </c>
      <c r="G8" s="239" t="s">
        <v>173</v>
      </c>
      <c r="H8" s="240" t="s">
        <v>173</v>
      </c>
    </row>
    <row r="9" spans="1:8" s="127" customFormat="1" ht="17.3" hidden="1" x14ac:dyDescent="0.3">
      <c r="A9" s="129" t="s">
        <v>141</v>
      </c>
      <c r="B9" s="130">
        <v>12925.88</v>
      </c>
      <c r="C9" s="131">
        <f>B9*D9</f>
        <v>302465.59199999995</v>
      </c>
      <c r="D9" s="132">
        <v>23.4</v>
      </c>
      <c r="E9" s="133">
        <f t="shared" ref="E9" si="0">D9/9</f>
        <v>2.5999999999999996</v>
      </c>
      <c r="F9" s="134">
        <f>D9/10</f>
        <v>2.34</v>
      </c>
      <c r="G9" s="135"/>
      <c r="H9" s="135"/>
    </row>
    <row r="10" spans="1:8" s="127" customFormat="1" ht="17.3" hidden="1" x14ac:dyDescent="0.3">
      <c r="A10" s="129" t="s">
        <v>142</v>
      </c>
      <c r="B10" s="130">
        <v>13020.11</v>
      </c>
      <c r="C10" s="131">
        <f t="shared" ref="C10" si="1">D10*B10</f>
        <v>316388.67300000001</v>
      </c>
      <c r="D10" s="134">
        <v>24.3</v>
      </c>
      <c r="E10" s="133">
        <f>D10/9</f>
        <v>2.7</v>
      </c>
      <c r="F10" s="134">
        <f t="shared" ref="F10:F14" si="2">D10/10</f>
        <v>2.4300000000000002</v>
      </c>
      <c r="G10" s="136">
        <f t="shared" ref="G10:H14" si="3">(C10/C9)-1</f>
        <v>4.6031949974660424E-2</v>
      </c>
      <c r="H10" s="136">
        <f t="shared" si="3"/>
        <v>3.8461538461538547E-2</v>
      </c>
    </row>
    <row r="11" spans="1:8" s="127" customFormat="1" ht="17.3" hidden="1" x14ac:dyDescent="0.3">
      <c r="A11" s="129" t="s">
        <v>143</v>
      </c>
      <c r="B11" s="137">
        <v>13033.47</v>
      </c>
      <c r="C11" s="131">
        <f>D11*B11</f>
        <v>434014.55099999992</v>
      </c>
      <c r="D11" s="134">
        <f>'[4]numbers divisible by 9'!C370</f>
        <v>33.299999999999997</v>
      </c>
      <c r="E11" s="138">
        <f t="shared" ref="E11:E12" si="4">D11/9</f>
        <v>3.6999999999999997</v>
      </c>
      <c r="F11" s="138">
        <f t="shared" si="2"/>
        <v>3.3299999999999996</v>
      </c>
      <c r="G11" s="136">
        <f t="shared" si="3"/>
        <v>0.37177651426225333</v>
      </c>
      <c r="H11" s="136">
        <f t="shared" si="3"/>
        <v>0.37037037037037024</v>
      </c>
    </row>
    <row r="12" spans="1:8" s="127" customFormat="1" ht="17" customHeight="1" x14ac:dyDescent="0.3">
      <c r="A12" s="129" t="s">
        <v>144</v>
      </c>
      <c r="B12" s="137">
        <v>13163.4</v>
      </c>
      <c r="C12" s="131">
        <f>D12*B12</f>
        <v>438341.22</v>
      </c>
      <c r="D12" s="134">
        <f>'[4]numbers divisible by 9'!C370</f>
        <v>33.299999999999997</v>
      </c>
      <c r="E12" s="138">
        <f t="shared" si="4"/>
        <v>3.6999999999999997</v>
      </c>
      <c r="F12" s="138">
        <f t="shared" si="2"/>
        <v>3.3299999999999996</v>
      </c>
      <c r="G12" s="136">
        <f t="shared" si="3"/>
        <v>9.9689491747019243E-3</v>
      </c>
      <c r="H12" s="136">
        <f t="shared" si="3"/>
        <v>0</v>
      </c>
    </row>
    <row r="13" spans="1:8" s="139" customFormat="1" ht="17.3" x14ac:dyDescent="0.3">
      <c r="A13" s="129" t="s">
        <v>145</v>
      </c>
      <c r="B13" s="137">
        <v>13396.59</v>
      </c>
      <c r="C13" s="131">
        <f>D13*B13</f>
        <v>566675.75699999998</v>
      </c>
      <c r="D13" s="134">
        <v>42.3</v>
      </c>
      <c r="E13" s="84"/>
      <c r="F13" s="138">
        <f t="shared" si="2"/>
        <v>4.2299999999999995</v>
      </c>
      <c r="G13" s="136">
        <f t="shared" si="3"/>
        <v>0.29277314371666896</v>
      </c>
      <c r="H13" s="136">
        <f>(D13/D12)-1</f>
        <v>0.2702702702702704</v>
      </c>
    </row>
    <row r="14" spans="1:8" s="139" customFormat="1" ht="17.3" x14ac:dyDescent="0.3">
      <c r="A14" s="129" t="s">
        <v>168</v>
      </c>
      <c r="B14" s="137">
        <v>13255.21</v>
      </c>
      <c r="C14" s="131">
        <f>D14*B14</f>
        <v>560695.38299999991</v>
      </c>
      <c r="D14" s="134">
        <v>42.3</v>
      </c>
      <c r="E14" s="140"/>
      <c r="F14" s="138">
        <f t="shared" si="2"/>
        <v>4.2299999999999995</v>
      </c>
      <c r="G14" s="136">
        <f>(C14/C13)-1</f>
        <v>-1.0553431880799602E-2</v>
      </c>
      <c r="H14" s="136">
        <f t="shared" si="3"/>
        <v>0</v>
      </c>
    </row>
    <row r="15" spans="1:8" s="139" customFormat="1" ht="17.3" x14ac:dyDescent="0.3">
      <c r="A15" s="286" t="s">
        <v>205</v>
      </c>
      <c r="B15" s="289">
        <v>13710.95</v>
      </c>
      <c r="C15" s="141">
        <f>D15*B15</f>
        <v>579973.18499999994</v>
      </c>
      <c r="D15" s="142">
        <v>42.3</v>
      </c>
      <c r="E15" s="143"/>
      <c r="F15" s="144">
        <f>D15/10</f>
        <v>4.2299999999999995</v>
      </c>
      <c r="G15" s="145">
        <f t="shared" ref="G15" si="5">(C15/$C$14)-1</f>
        <v>3.4381952454921594E-2</v>
      </c>
      <c r="H15" s="145">
        <f t="shared" ref="H15" si="6">(D15/$D$14)-1</f>
        <v>0</v>
      </c>
    </row>
    <row r="16" spans="1:8" s="139" customFormat="1" ht="17.3" x14ac:dyDescent="0.3">
      <c r="A16" s="287"/>
      <c r="B16" s="290"/>
      <c r="C16" s="141">
        <f>D16*B15</f>
        <v>567633.32999999996</v>
      </c>
      <c r="D16" s="142">
        <v>41.4</v>
      </c>
      <c r="E16" s="143"/>
      <c r="F16" s="144">
        <f>D16/10</f>
        <v>4.1399999999999997</v>
      </c>
      <c r="G16" s="145">
        <f t="shared" ref="G16:G25" si="7">(C16/$C$14)-1</f>
        <v>1.2373825806944572E-2</v>
      </c>
      <c r="H16" s="145">
        <f t="shared" ref="H16:H25" si="8">(D16/$D$14)-1</f>
        <v>-2.1276595744680771E-2</v>
      </c>
    </row>
    <row r="17" spans="1:8" s="139" customFormat="1" ht="17.3" x14ac:dyDescent="0.3">
      <c r="A17" s="287"/>
      <c r="B17" s="290"/>
      <c r="C17" s="141">
        <f>D17*B15</f>
        <v>555293.47499999998</v>
      </c>
      <c r="D17" s="142">
        <v>40.5</v>
      </c>
      <c r="E17" s="143"/>
      <c r="F17" s="144">
        <f t="shared" ref="F17:F25" si="9">D17/10</f>
        <v>4.05</v>
      </c>
      <c r="G17" s="145">
        <f t="shared" si="7"/>
        <v>-9.6343008410324504E-3</v>
      </c>
      <c r="H17" s="145">
        <f t="shared" si="8"/>
        <v>-4.2553191489361653E-2</v>
      </c>
    </row>
    <row r="18" spans="1:8" s="139" customFormat="1" ht="17.3" x14ac:dyDescent="0.3">
      <c r="A18" s="287"/>
      <c r="B18" s="290"/>
      <c r="C18" s="141">
        <f>D18*B15</f>
        <v>542953.62</v>
      </c>
      <c r="D18" s="142">
        <v>39.6</v>
      </c>
      <c r="E18" s="143"/>
      <c r="F18" s="144">
        <f t="shared" si="9"/>
        <v>3.96</v>
      </c>
      <c r="G18" s="145">
        <f t="shared" si="7"/>
        <v>-3.1642427489009473E-2</v>
      </c>
      <c r="H18" s="145">
        <f t="shared" si="8"/>
        <v>-6.3829787234042423E-2</v>
      </c>
    </row>
    <row r="19" spans="1:8" s="139" customFormat="1" ht="17.3" x14ac:dyDescent="0.3">
      <c r="A19" s="287"/>
      <c r="B19" s="290"/>
      <c r="C19" s="141">
        <f>D19*B15</f>
        <v>530613.76500000001</v>
      </c>
      <c r="D19" s="142">
        <v>38.700000000000003</v>
      </c>
      <c r="F19" s="144">
        <f t="shared" si="9"/>
        <v>3.87</v>
      </c>
      <c r="G19" s="145">
        <f t="shared" si="7"/>
        <v>-5.3650554136986495E-2</v>
      </c>
      <c r="H19" s="145">
        <f t="shared" si="8"/>
        <v>-8.5106382978723305E-2</v>
      </c>
    </row>
    <row r="20" spans="1:8" s="139" customFormat="1" ht="17.3" x14ac:dyDescent="0.3">
      <c r="A20" s="287"/>
      <c r="B20" s="290"/>
      <c r="C20" s="141">
        <f>D20*B15</f>
        <v>518273.91</v>
      </c>
      <c r="D20" s="142">
        <v>37.799999999999997</v>
      </c>
      <c r="F20" s="144">
        <f t="shared" si="9"/>
        <v>3.78</v>
      </c>
      <c r="G20" s="145">
        <f t="shared" si="7"/>
        <v>-7.5658680784963628E-2</v>
      </c>
      <c r="H20" s="145">
        <f t="shared" si="8"/>
        <v>-0.1063829787234043</v>
      </c>
    </row>
    <row r="21" spans="1:8" s="139" customFormat="1" ht="17.3" x14ac:dyDescent="0.3">
      <c r="A21" s="287"/>
      <c r="B21" s="290"/>
      <c r="C21" s="141">
        <f>D21*B15</f>
        <v>505934.05499999999</v>
      </c>
      <c r="D21" s="142">
        <v>36.9</v>
      </c>
      <c r="F21" s="144">
        <f t="shared" si="9"/>
        <v>3.69</v>
      </c>
      <c r="G21" s="145">
        <f t="shared" si="7"/>
        <v>-9.766680743294065E-2</v>
      </c>
      <c r="H21" s="145">
        <f t="shared" si="8"/>
        <v>-0.12765957446808507</v>
      </c>
    </row>
    <row r="22" spans="1:8" s="139" customFormat="1" ht="17.3" x14ac:dyDescent="0.3">
      <c r="A22" s="287"/>
      <c r="B22" s="290"/>
      <c r="C22" s="141">
        <f>D22*B15</f>
        <v>493594.2</v>
      </c>
      <c r="D22" s="142">
        <v>36</v>
      </c>
      <c r="F22" s="144">
        <f t="shared" si="9"/>
        <v>3.6</v>
      </c>
      <c r="G22" s="145">
        <f t="shared" si="7"/>
        <v>-0.11967493408091767</v>
      </c>
      <c r="H22" s="145">
        <f t="shared" si="8"/>
        <v>-0.14893617021276595</v>
      </c>
    </row>
    <row r="23" spans="1:8" s="139" customFormat="1" ht="17.3" x14ac:dyDescent="0.3">
      <c r="A23" s="287"/>
      <c r="B23" s="290"/>
      <c r="C23" s="141">
        <f>D23*B15</f>
        <v>481254.34500000003</v>
      </c>
      <c r="D23" s="142">
        <v>35.1</v>
      </c>
      <c r="F23" s="144">
        <f t="shared" si="9"/>
        <v>3.5100000000000002</v>
      </c>
      <c r="G23" s="145">
        <f t="shared" si="7"/>
        <v>-0.14168306072889469</v>
      </c>
      <c r="H23" s="145">
        <f t="shared" si="8"/>
        <v>-0.17021276595744672</v>
      </c>
    </row>
    <row r="24" spans="1:8" s="139" customFormat="1" ht="17.3" x14ac:dyDescent="0.3">
      <c r="A24" s="287"/>
      <c r="B24" s="290"/>
      <c r="C24" s="141">
        <f>D24*B15</f>
        <v>468914.49000000005</v>
      </c>
      <c r="D24" s="142">
        <v>34.200000000000003</v>
      </c>
      <c r="F24" s="144">
        <f t="shared" si="9"/>
        <v>3.4200000000000004</v>
      </c>
      <c r="G24" s="145">
        <f t="shared" si="7"/>
        <v>-0.16369118737687172</v>
      </c>
      <c r="H24" s="145">
        <f t="shared" si="8"/>
        <v>-0.19148936170212749</v>
      </c>
    </row>
    <row r="25" spans="1:8" s="139" customFormat="1" ht="17.3" x14ac:dyDescent="0.3">
      <c r="A25" s="288"/>
      <c r="B25" s="291"/>
      <c r="C25" s="141">
        <f>D25*B15</f>
        <v>456574.63500000001</v>
      </c>
      <c r="D25" s="142">
        <v>33.299999999999997</v>
      </c>
      <c r="F25" s="144">
        <f t="shared" si="9"/>
        <v>3.3299999999999996</v>
      </c>
      <c r="G25" s="145">
        <f t="shared" si="7"/>
        <v>-0.18569931402484885</v>
      </c>
      <c r="H25" s="145">
        <f t="shared" si="8"/>
        <v>-0.21276595744680848</v>
      </c>
    </row>
    <row r="26" spans="1:8" s="139" customFormat="1" ht="17.3" x14ac:dyDescent="0.3">
      <c r="A26" s="258"/>
      <c r="B26" s="258"/>
      <c r="C26" s="259"/>
      <c r="D26" s="260"/>
      <c r="F26" s="261"/>
      <c r="G26" s="262"/>
      <c r="H26" s="262"/>
    </row>
    <row r="27" spans="1:8" ht="17.3" x14ac:dyDescent="0.3">
      <c r="A27" s="263" t="s">
        <v>220</v>
      </c>
    </row>
    <row r="28" spans="1:8" ht="17.3" x14ac:dyDescent="0.3">
      <c r="A28" s="139" t="s">
        <v>235</v>
      </c>
    </row>
  </sheetData>
  <mergeCells count="2">
    <mergeCell ref="A15:A25"/>
    <mergeCell ref="B15:B2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&amp;F</oddHeader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E35A-1586-46B1-AE8B-7490882325CB}">
  <dimension ref="A1:Q69"/>
  <sheetViews>
    <sheetView showWhiteSpace="0" topLeftCell="I1" zoomScale="85" zoomScaleNormal="85" zoomScalePageLayoutView="70" workbookViewId="0">
      <selection activeCell="I8" sqref="I8"/>
    </sheetView>
  </sheetViews>
  <sheetFormatPr defaultColWidth="9.109375" defaultRowHeight="29.55" customHeight="1" x14ac:dyDescent="0.2"/>
  <cols>
    <col min="1" max="1" width="7.33203125" style="146" customWidth="1"/>
    <col min="2" max="2" width="33" style="18" customWidth="1"/>
    <col min="3" max="3" width="14.77734375" style="74" customWidth="1"/>
    <col min="4" max="4" width="16.21875" style="74" customWidth="1"/>
    <col min="5" max="5" width="18.77734375" style="18" customWidth="1"/>
    <col min="6" max="6" width="15.21875" style="18" customWidth="1"/>
    <col min="7" max="7" width="18.33203125" style="18" customWidth="1"/>
    <col min="8" max="8" width="16.21875" style="18" bestFit="1" customWidth="1"/>
    <col min="9" max="9" width="86.6640625" style="18" bestFit="1" customWidth="1"/>
    <col min="10" max="10" width="25" style="48" bestFit="1" customWidth="1"/>
    <col min="11" max="14" width="9.109375" style="48"/>
    <col min="15" max="15" width="13.33203125" style="48" bestFit="1" customWidth="1"/>
    <col min="16" max="17" width="12.109375" style="48" bestFit="1" customWidth="1"/>
    <col min="18" max="16384" width="9.109375" style="18"/>
  </cols>
  <sheetData>
    <row r="1" spans="1:17" ht="29.55" customHeight="1" x14ac:dyDescent="0.2">
      <c r="A1" s="121" t="s">
        <v>183</v>
      </c>
      <c r="I1" s="75"/>
      <c r="J1" s="68"/>
    </row>
    <row r="2" spans="1:17" ht="29.55" customHeight="1" x14ac:dyDescent="0.2">
      <c r="A2" s="282" t="s">
        <v>5</v>
      </c>
      <c r="B2" s="282"/>
      <c r="C2" s="147" t="s">
        <v>154</v>
      </c>
      <c r="D2" s="272" t="s">
        <v>155</v>
      </c>
      <c r="E2" s="272"/>
      <c r="F2" s="272"/>
      <c r="G2" s="272"/>
      <c r="H2" s="285" t="s">
        <v>156</v>
      </c>
      <c r="I2" s="285"/>
      <c r="J2" s="272" t="s">
        <v>186</v>
      </c>
    </row>
    <row r="3" spans="1:17" ht="44.95" x14ac:dyDescent="0.2">
      <c r="A3" s="282"/>
      <c r="B3" s="282"/>
      <c r="C3" s="46" t="s">
        <v>1</v>
      </c>
      <c r="D3" s="44" t="s">
        <v>198</v>
      </c>
      <c r="E3" s="44" t="s">
        <v>2</v>
      </c>
      <c r="F3" s="44" t="s">
        <v>56</v>
      </c>
      <c r="G3" s="44" t="s">
        <v>3</v>
      </c>
      <c r="H3" s="44" t="s">
        <v>4</v>
      </c>
      <c r="I3" s="65" t="s">
        <v>0</v>
      </c>
      <c r="J3" s="272"/>
      <c r="O3" s="48" t="s">
        <v>187</v>
      </c>
      <c r="P3" s="48" t="s">
        <v>188</v>
      </c>
      <c r="Q3" s="48" t="s">
        <v>135</v>
      </c>
    </row>
    <row r="4" spans="1:17" ht="29.55" customHeight="1" x14ac:dyDescent="0.2">
      <c r="A4" s="92">
        <v>4000</v>
      </c>
      <c r="B4" s="92" t="s">
        <v>6</v>
      </c>
      <c r="C4" s="96">
        <v>70321</v>
      </c>
      <c r="D4" s="96">
        <v>54322</v>
      </c>
      <c r="E4" s="96">
        <v>71727</v>
      </c>
      <c r="F4" s="99">
        <f>6035.77*3</f>
        <v>18107.310000000001</v>
      </c>
      <c r="G4" s="34">
        <f>D4+F4</f>
        <v>72429.31</v>
      </c>
      <c r="H4" s="100">
        <f>G4*102%</f>
        <v>73877.896200000003</v>
      </c>
      <c r="I4" s="51" t="s">
        <v>125</v>
      </c>
      <c r="J4" s="150" t="s">
        <v>189</v>
      </c>
      <c r="L4" s="48" t="s">
        <v>189</v>
      </c>
      <c r="O4" s="151">
        <f>$H$4+$H$5+H$6+$H$7+$H$8+H$9+$H$16+$H$15+$H$17+$H$19+$H$20+$H$22+$H$24+$H$25+$H$26+$H$29+$H$30+$H$32</f>
        <v>126318.00468800002</v>
      </c>
      <c r="P4" s="152">
        <f>H61+H62+H63+H64</f>
        <v>235</v>
      </c>
      <c r="Q4" s="168">
        <f>H59</f>
        <v>560695.38299999991</v>
      </c>
    </row>
    <row r="5" spans="1:17" ht="29.55" customHeight="1" x14ac:dyDescent="0.2">
      <c r="A5" s="92">
        <v>4001</v>
      </c>
      <c r="B5" s="92" t="s">
        <v>7</v>
      </c>
      <c r="C5" s="96">
        <v>6132</v>
      </c>
      <c r="D5" s="96">
        <v>4769</v>
      </c>
      <c r="E5" s="96">
        <v>6245</v>
      </c>
      <c r="F5" s="99">
        <f>529.89*3</f>
        <v>1589.67</v>
      </c>
      <c r="G5" s="34">
        <f t="shared" ref="G5:G54" si="0">D5+F5</f>
        <v>6358.67</v>
      </c>
      <c r="H5" s="100">
        <f>G5*102%</f>
        <v>6485.8433999999997</v>
      </c>
      <c r="I5" s="52"/>
      <c r="J5" s="150" t="s">
        <v>189</v>
      </c>
      <c r="L5" s="48" t="s">
        <v>34</v>
      </c>
      <c r="O5" s="153">
        <f>$H$41</f>
        <v>14250</v>
      </c>
      <c r="P5" s="152">
        <f>H65</f>
        <v>18779</v>
      </c>
    </row>
    <row r="6" spans="1:17" ht="29.55" customHeight="1" x14ac:dyDescent="0.2">
      <c r="A6" s="92">
        <v>4002</v>
      </c>
      <c r="B6" s="92" t="s">
        <v>8</v>
      </c>
      <c r="C6" s="96">
        <v>17580</v>
      </c>
      <c r="D6" s="96">
        <v>13037</v>
      </c>
      <c r="E6" s="96">
        <v>17215</v>
      </c>
      <c r="F6" s="99">
        <f>1448.59*3</f>
        <v>4345.7699999999995</v>
      </c>
      <c r="G6" s="34">
        <f>D6+F6</f>
        <v>17382.77</v>
      </c>
      <c r="H6" s="100">
        <f>H4*24%</f>
        <v>17730.695088</v>
      </c>
      <c r="I6" s="51" t="s">
        <v>131</v>
      </c>
      <c r="J6" s="150" t="s">
        <v>189</v>
      </c>
      <c r="L6" s="48" t="s">
        <v>190</v>
      </c>
      <c r="O6" s="154">
        <f>$H$10+$H$39+$H$45+$H$51+$H$40</f>
        <v>18550</v>
      </c>
    </row>
    <row r="7" spans="1:17" ht="29.55" customHeight="1" x14ac:dyDescent="0.2">
      <c r="A7" s="92">
        <v>4003</v>
      </c>
      <c r="B7" s="92" t="s">
        <v>88</v>
      </c>
      <c r="C7" s="96">
        <v>0</v>
      </c>
      <c r="D7" s="96">
        <v>0</v>
      </c>
      <c r="E7" s="96">
        <v>2000</v>
      </c>
      <c r="F7" s="101">
        <v>0</v>
      </c>
      <c r="G7" s="34">
        <f t="shared" si="0"/>
        <v>0</v>
      </c>
      <c r="H7" s="100">
        <v>2000</v>
      </c>
      <c r="I7" s="6"/>
      <c r="J7" s="150" t="s">
        <v>189</v>
      </c>
      <c r="L7" s="48" t="s">
        <v>191</v>
      </c>
      <c r="O7" s="151">
        <f>$H$37</f>
        <v>10000</v>
      </c>
    </row>
    <row r="8" spans="1:17" ht="29.55" customHeight="1" x14ac:dyDescent="0.2">
      <c r="A8" s="92">
        <v>4004</v>
      </c>
      <c r="B8" s="92" t="s">
        <v>9</v>
      </c>
      <c r="C8" s="96">
        <v>132</v>
      </c>
      <c r="D8" s="96">
        <v>17</v>
      </c>
      <c r="E8" s="96">
        <v>350</v>
      </c>
      <c r="F8" s="101">
        <v>50</v>
      </c>
      <c r="G8" s="34">
        <f>D8+F8</f>
        <v>67</v>
      </c>
      <c r="H8" s="100">
        <v>150</v>
      </c>
      <c r="I8" s="11"/>
      <c r="J8" s="150" t="s">
        <v>189</v>
      </c>
      <c r="L8" s="48" t="s">
        <v>192</v>
      </c>
      <c r="O8" s="154">
        <f>$H$42+$H$49+$H$50+$H$52+$H$46+$H$53</f>
        <v>121440</v>
      </c>
    </row>
    <row r="9" spans="1:17" ht="29.55" customHeight="1" x14ac:dyDescent="0.2">
      <c r="A9" s="92">
        <v>4005</v>
      </c>
      <c r="B9" s="92" t="s">
        <v>10</v>
      </c>
      <c r="C9" s="96">
        <v>335</v>
      </c>
      <c r="D9" s="96">
        <v>200</v>
      </c>
      <c r="E9" s="96">
        <v>3000</v>
      </c>
      <c r="F9" s="101">
        <v>0</v>
      </c>
      <c r="G9" s="34">
        <f t="shared" si="0"/>
        <v>200</v>
      </c>
      <c r="H9" s="100">
        <v>3000</v>
      </c>
      <c r="I9" s="11"/>
      <c r="J9" s="150" t="s">
        <v>189</v>
      </c>
      <c r="L9" s="48" t="s">
        <v>193</v>
      </c>
      <c r="O9" s="154">
        <f>H35+H36+H38+H43+H44+H47+H48</f>
        <v>319870</v>
      </c>
    </row>
    <row r="10" spans="1:17" ht="29.55" customHeight="1" x14ac:dyDescent="0.2">
      <c r="A10" s="92">
        <v>4106</v>
      </c>
      <c r="B10" s="92" t="s">
        <v>11</v>
      </c>
      <c r="C10" s="96">
        <v>81</v>
      </c>
      <c r="D10" s="96">
        <v>0</v>
      </c>
      <c r="E10" s="96">
        <v>500</v>
      </c>
      <c r="F10" s="101">
        <v>0</v>
      </c>
      <c r="G10" s="34">
        <f t="shared" si="0"/>
        <v>0</v>
      </c>
      <c r="H10" s="100">
        <v>500</v>
      </c>
      <c r="I10" s="11"/>
      <c r="J10" s="155" t="s">
        <v>190</v>
      </c>
      <c r="L10" s="48" t="s">
        <v>194</v>
      </c>
      <c r="O10" s="154">
        <f>H11+H12+H13+H14+H18+H21+H23+H27+H28+H31+H31+H33+H34</f>
        <v>28925</v>
      </c>
    </row>
    <row r="11" spans="1:17" ht="29.55" customHeight="1" x14ac:dyDescent="0.2">
      <c r="A11" s="92">
        <v>4112</v>
      </c>
      <c r="B11" s="92" t="s">
        <v>12</v>
      </c>
      <c r="C11" s="96">
        <v>350</v>
      </c>
      <c r="D11" s="96">
        <v>0</v>
      </c>
      <c r="E11" s="96">
        <v>500</v>
      </c>
      <c r="F11" s="101">
        <v>400</v>
      </c>
      <c r="G11" s="34">
        <f t="shared" si="0"/>
        <v>400</v>
      </c>
      <c r="H11" s="100">
        <v>500</v>
      </c>
      <c r="I11" s="47"/>
      <c r="J11" s="156" t="s">
        <v>194</v>
      </c>
      <c r="L11" s="48" t="s">
        <v>195</v>
      </c>
      <c r="P11" s="157">
        <v>50719</v>
      </c>
    </row>
    <row r="12" spans="1:17" ht="29.55" customHeight="1" x14ac:dyDescent="0.2">
      <c r="A12" s="92">
        <v>4113</v>
      </c>
      <c r="B12" s="92" t="s">
        <v>13</v>
      </c>
      <c r="C12" s="96">
        <v>1000</v>
      </c>
      <c r="D12" s="96">
        <v>300</v>
      </c>
      <c r="E12" s="96">
        <v>1000</v>
      </c>
      <c r="F12" s="101">
        <v>1300</v>
      </c>
      <c r="G12" s="34">
        <f t="shared" si="0"/>
        <v>1600</v>
      </c>
      <c r="H12" s="100">
        <v>1300</v>
      </c>
      <c r="I12" s="48" t="s">
        <v>159</v>
      </c>
      <c r="J12" s="156" t="s">
        <v>194</v>
      </c>
      <c r="L12" s="293" t="s">
        <v>197</v>
      </c>
      <c r="M12" s="293"/>
      <c r="N12" s="293"/>
      <c r="P12" s="154">
        <v>8925</v>
      </c>
    </row>
    <row r="13" spans="1:17" ht="29.55" customHeight="1" x14ac:dyDescent="0.2">
      <c r="A13" s="92">
        <v>4115</v>
      </c>
      <c r="B13" s="92" t="s">
        <v>14</v>
      </c>
      <c r="C13" s="96">
        <v>187</v>
      </c>
      <c r="D13" s="96">
        <v>222</v>
      </c>
      <c r="E13" s="96">
        <v>300</v>
      </c>
      <c r="F13" s="101">
        <f>(15.5*3)+ (1.5*15)</f>
        <v>69</v>
      </c>
      <c r="G13" s="34">
        <f t="shared" si="0"/>
        <v>291</v>
      </c>
      <c r="H13" s="100">
        <v>300</v>
      </c>
      <c r="I13" s="102"/>
      <c r="J13" s="156" t="s">
        <v>194</v>
      </c>
      <c r="O13" s="157">
        <f>SUM(O4:O11)</f>
        <v>639353.00468800007</v>
      </c>
      <c r="P13" s="163">
        <f>SUM(P4:P12)</f>
        <v>78658</v>
      </c>
      <c r="Q13" s="157">
        <f>O13-P13</f>
        <v>560695.00468800007</v>
      </c>
    </row>
    <row r="14" spans="1:17" ht="29.55" customHeight="1" x14ac:dyDescent="0.2">
      <c r="A14" s="92">
        <v>4118</v>
      </c>
      <c r="B14" s="92" t="s">
        <v>15</v>
      </c>
      <c r="C14" s="96">
        <v>494</v>
      </c>
      <c r="D14" s="96">
        <v>270</v>
      </c>
      <c r="E14" s="96">
        <v>500</v>
      </c>
      <c r="F14" s="101">
        <v>0</v>
      </c>
      <c r="G14" s="34">
        <f t="shared" si="0"/>
        <v>270</v>
      </c>
      <c r="H14" s="100">
        <v>200</v>
      </c>
      <c r="I14" s="51" t="s">
        <v>157</v>
      </c>
      <c r="J14" s="156" t="s">
        <v>194</v>
      </c>
      <c r="P14" s="157">
        <f>Q13+P13</f>
        <v>639353.00468800007</v>
      </c>
    </row>
    <row r="15" spans="1:17" ht="29.55" customHeight="1" x14ac:dyDescent="0.2">
      <c r="A15" s="103">
        <v>4124</v>
      </c>
      <c r="B15" s="103" t="s">
        <v>16</v>
      </c>
      <c r="C15" s="104">
        <v>347</v>
      </c>
      <c r="D15" s="96">
        <v>0</v>
      </c>
      <c r="E15" s="104">
        <v>500</v>
      </c>
      <c r="F15" s="101">
        <v>0</v>
      </c>
      <c r="G15" s="34">
        <f t="shared" si="0"/>
        <v>0</v>
      </c>
      <c r="H15" s="100">
        <v>0</v>
      </c>
      <c r="I15" s="51" t="s">
        <v>180</v>
      </c>
      <c r="J15" s="150" t="s">
        <v>189</v>
      </c>
    </row>
    <row r="16" spans="1:17" ht="29.55" customHeight="1" x14ac:dyDescent="0.2">
      <c r="A16" s="92">
        <v>4125</v>
      </c>
      <c r="B16" s="92" t="s">
        <v>17</v>
      </c>
      <c r="C16" s="96">
        <v>4274</v>
      </c>
      <c r="D16" s="96">
        <v>2869</v>
      </c>
      <c r="E16" s="96">
        <v>4500</v>
      </c>
      <c r="F16" s="101">
        <f>352*4</f>
        <v>1408</v>
      </c>
      <c r="G16" s="34">
        <f t="shared" si="0"/>
        <v>4277</v>
      </c>
      <c r="H16" s="100">
        <f>4617.97+30+60</f>
        <v>4707.97</v>
      </c>
      <c r="I16" s="51" t="s">
        <v>158</v>
      </c>
      <c r="J16" s="150" t="s">
        <v>189</v>
      </c>
    </row>
    <row r="17" spans="1:10" ht="29.55" customHeight="1" x14ac:dyDescent="0.2">
      <c r="A17" s="92">
        <v>4126</v>
      </c>
      <c r="B17" s="92" t="s">
        <v>18</v>
      </c>
      <c r="C17" s="96">
        <v>306</v>
      </c>
      <c r="D17" s="96">
        <v>260</v>
      </c>
      <c r="E17" s="96">
        <v>600</v>
      </c>
      <c r="F17" s="101">
        <v>0</v>
      </c>
      <c r="G17" s="34">
        <f t="shared" si="0"/>
        <v>260</v>
      </c>
      <c r="H17" s="100">
        <f>1525.6+260</f>
        <v>1785.6</v>
      </c>
      <c r="I17" s="51" t="s">
        <v>160</v>
      </c>
      <c r="J17" s="150" t="s">
        <v>189</v>
      </c>
    </row>
    <row r="18" spans="1:10" ht="29.55" customHeight="1" x14ac:dyDescent="0.2">
      <c r="A18" s="92">
        <v>4128</v>
      </c>
      <c r="B18" s="92" t="s">
        <v>19</v>
      </c>
      <c r="C18" s="96">
        <v>24579</v>
      </c>
      <c r="D18" s="96">
        <v>0</v>
      </c>
      <c r="E18" s="104">
        <v>8000</v>
      </c>
      <c r="F18" s="101">
        <v>0</v>
      </c>
      <c r="G18" s="34">
        <f t="shared" si="0"/>
        <v>0</v>
      </c>
      <c r="H18" s="100">
        <v>8000</v>
      </c>
      <c r="I18" s="51" t="s">
        <v>162</v>
      </c>
      <c r="J18" s="156" t="s">
        <v>194</v>
      </c>
    </row>
    <row r="19" spans="1:10" ht="29.55" customHeight="1" x14ac:dyDescent="0.2">
      <c r="A19" s="92">
        <v>4131</v>
      </c>
      <c r="B19" s="92" t="s">
        <v>20</v>
      </c>
      <c r="C19" s="96">
        <v>0</v>
      </c>
      <c r="D19" s="96">
        <v>0</v>
      </c>
      <c r="E19" s="104">
        <v>530</v>
      </c>
      <c r="F19" s="101">
        <v>0</v>
      </c>
      <c r="G19" s="34">
        <f t="shared" si="0"/>
        <v>0</v>
      </c>
      <c r="H19" s="100">
        <v>530</v>
      </c>
      <c r="I19" s="47"/>
      <c r="J19" s="150" t="s">
        <v>189</v>
      </c>
    </row>
    <row r="20" spans="1:10" ht="29.55" customHeight="1" x14ac:dyDescent="0.2">
      <c r="A20" s="92">
        <v>4132</v>
      </c>
      <c r="B20" s="92" t="s">
        <v>21</v>
      </c>
      <c r="C20" s="96">
        <v>0</v>
      </c>
      <c r="D20" s="96">
        <v>0</v>
      </c>
      <c r="E20" s="96">
        <v>250</v>
      </c>
      <c r="F20" s="101">
        <v>0</v>
      </c>
      <c r="G20" s="34">
        <f t="shared" si="0"/>
        <v>0</v>
      </c>
      <c r="H20" s="100">
        <v>250</v>
      </c>
      <c r="I20" s="12"/>
      <c r="J20" s="150" t="s">
        <v>189</v>
      </c>
    </row>
    <row r="21" spans="1:10" ht="29.55" customHeight="1" x14ac:dyDescent="0.2">
      <c r="A21" s="92">
        <v>4133</v>
      </c>
      <c r="B21" s="92" t="s">
        <v>22</v>
      </c>
      <c r="C21" s="96">
        <v>2913</v>
      </c>
      <c r="D21" s="96">
        <v>4082</v>
      </c>
      <c r="E21" s="96">
        <v>4000</v>
      </c>
      <c r="F21" s="101">
        <v>0</v>
      </c>
      <c r="G21" s="34">
        <f t="shared" ref="G21:G30" si="1">D21+F21</f>
        <v>4082</v>
      </c>
      <c r="H21" s="100">
        <v>4000</v>
      </c>
      <c r="I21" s="47" t="s">
        <v>97</v>
      </c>
      <c r="J21" s="156" t="s">
        <v>194</v>
      </c>
    </row>
    <row r="22" spans="1:10" ht="29.55" customHeight="1" x14ac:dyDescent="0.2">
      <c r="A22" s="92">
        <v>4134</v>
      </c>
      <c r="B22" s="92" t="s">
        <v>114</v>
      </c>
      <c r="C22" s="96">
        <v>198</v>
      </c>
      <c r="D22" s="96">
        <v>0</v>
      </c>
      <c r="E22" s="96">
        <v>0</v>
      </c>
      <c r="F22" s="101">
        <v>0</v>
      </c>
      <c r="G22" s="34">
        <f t="shared" si="1"/>
        <v>0</v>
      </c>
      <c r="H22" s="100">
        <v>0</v>
      </c>
      <c r="I22" s="47"/>
      <c r="J22" s="150" t="s">
        <v>189</v>
      </c>
    </row>
    <row r="23" spans="1:10" ht="29.55" customHeight="1" x14ac:dyDescent="0.2">
      <c r="A23" s="92">
        <v>4136</v>
      </c>
      <c r="B23" s="92" t="s">
        <v>23</v>
      </c>
      <c r="C23" s="96">
        <v>162</v>
      </c>
      <c r="D23" s="96">
        <v>2596</v>
      </c>
      <c r="E23" s="96">
        <v>4000</v>
      </c>
      <c r="F23" s="96">
        <v>0</v>
      </c>
      <c r="G23" s="96">
        <f t="shared" si="1"/>
        <v>2596</v>
      </c>
      <c r="H23" s="96">
        <v>5000</v>
      </c>
      <c r="I23" s="13"/>
      <c r="J23" s="156" t="s">
        <v>194</v>
      </c>
    </row>
    <row r="24" spans="1:10" ht="29.55" customHeight="1" x14ac:dyDescent="0.2">
      <c r="A24" s="103">
        <v>4140</v>
      </c>
      <c r="B24" s="103" t="s">
        <v>24</v>
      </c>
      <c r="C24" s="104">
        <v>642</v>
      </c>
      <c r="D24" s="96">
        <v>-625</v>
      </c>
      <c r="E24" s="104">
        <v>700</v>
      </c>
      <c r="F24" s="101">
        <f>6*650</f>
        <v>3900</v>
      </c>
      <c r="G24" s="34">
        <f t="shared" si="1"/>
        <v>3275</v>
      </c>
      <c r="H24" s="100">
        <v>2000</v>
      </c>
      <c r="I24" s="51" t="s">
        <v>124</v>
      </c>
      <c r="J24" s="150" t="s">
        <v>189</v>
      </c>
    </row>
    <row r="25" spans="1:10" ht="29.55" customHeight="1" x14ac:dyDescent="0.2">
      <c r="A25" s="92">
        <v>4141</v>
      </c>
      <c r="B25" s="92" t="s">
        <v>25</v>
      </c>
      <c r="C25" s="96">
        <v>10991</v>
      </c>
      <c r="D25" s="96">
        <v>11060</v>
      </c>
      <c r="E25" s="96">
        <v>15000</v>
      </c>
      <c r="F25" s="101">
        <v>0</v>
      </c>
      <c r="G25" s="34">
        <f t="shared" si="1"/>
        <v>11060</v>
      </c>
      <c r="H25" s="100">
        <v>10000</v>
      </c>
      <c r="I25" s="77"/>
      <c r="J25" s="150" t="s">
        <v>189</v>
      </c>
    </row>
    <row r="26" spans="1:10" ht="29.55" customHeight="1" x14ac:dyDescent="0.2">
      <c r="A26" s="92">
        <v>4142</v>
      </c>
      <c r="B26" s="92" t="s">
        <v>26</v>
      </c>
      <c r="C26" s="96">
        <v>5959</v>
      </c>
      <c r="D26" s="96">
        <v>3103</v>
      </c>
      <c r="E26" s="96">
        <v>5800</v>
      </c>
      <c r="F26" s="101">
        <v>600</v>
      </c>
      <c r="G26" s="34">
        <f t="shared" si="1"/>
        <v>3703</v>
      </c>
      <c r="H26" s="105">
        <v>2500</v>
      </c>
      <c r="I26" s="51" t="s">
        <v>165</v>
      </c>
      <c r="J26" s="150" t="s">
        <v>189</v>
      </c>
    </row>
    <row r="27" spans="1:10" ht="29.55" customHeight="1" x14ac:dyDescent="0.2">
      <c r="A27" s="92">
        <v>4143</v>
      </c>
      <c r="B27" s="92" t="s">
        <v>115</v>
      </c>
      <c r="C27" s="96">
        <v>4764</v>
      </c>
      <c r="D27" s="96">
        <v>4845</v>
      </c>
      <c r="E27" s="96">
        <v>8000</v>
      </c>
      <c r="F27" s="101">
        <f>650</f>
        <v>650</v>
      </c>
      <c r="G27" s="34">
        <f t="shared" si="1"/>
        <v>5495</v>
      </c>
      <c r="H27" s="105">
        <v>4000</v>
      </c>
      <c r="I27" s="47" t="s">
        <v>170</v>
      </c>
      <c r="J27" s="156" t="s">
        <v>194</v>
      </c>
    </row>
    <row r="28" spans="1:10" ht="29.55" customHeight="1" x14ac:dyDescent="0.2">
      <c r="A28" s="92">
        <v>4145</v>
      </c>
      <c r="B28" s="92" t="s">
        <v>27</v>
      </c>
      <c r="C28" s="96">
        <v>506</v>
      </c>
      <c r="D28" s="96">
        <v>605</v>
      </c>
      <c r="E28" s="96">
        <v>500</v>
      </c>
      <c r="F28" s="101">
        <v>0</v>
      </c>
      <c r="G28" s="34">
        <f t="shared" si="1"/>
        <v>605</v>
      </c>
      <c r="H28" s="100">
        <v>525</v>
      </c>
      <c r="I28" s="53" t="s">
        <v>91</v>
      </c>
      <c r="J28" s="156" t="s">
        <v>194</v>
      </c>
    </row>
    <row r="29" spans="1:10" ht="29.55" customHeight="1" x14ac:dyDescent="0.2">
      <c r="A29" s="92">
        <v>4146</v>
      </c>
      <c r="B29" s="92" t="s">
        <v>28</v>
      </c>
      <c r="C29" s="96">
        <v>261</v>
      </c>
      <c r="D29" s="96">
        <v>0</v>
      </c>
      <c r="E29" s="96">
        <v>400</v>
      </c>
      <c r="F29" s="101">
        <v>0</v>
      </c>
      <c r="G29" s="34">
        <f t="shared" si="1"/>
        <v>0</v>
      </c>
      <c r="H29" s="100">
        <v>400</v>
      </c>
      <c r="I29" s="13"/>
      <c r="J29" s="150" t="s">
        <v>189</v>
      </c>
    </row>
    <row r="30" spans="1:10" ht="29.55" customHeight="1" x14ac:dyDescent="0.2">
      <c r="A30" s="92">
        <v>4148</v>
      </c>
      <c r="B30" s="92" t="s">
        <v>29</v>
      </c>
      <c r="C30" s="96">
        <v>63</v>
      </c>
      <c r="D30" s="96">
        <v>68</v>
      </c>
      <c r="E30" s="96">
        <v>150</v>
      </c>
      <c r="F30" s="101">
        <v>0</v>
      </c>
      <c r="G30" s="34">
        <f t="shared" si="1"/>
        <v>68</v>
      </c>
      <c r="H30" s="100">
        <v>150</v>
      </c>
      <c r="I30" s="13"/>
      <c r="J30" s="150" t="s">
        <v>189</v>
      </c>
    </row>
    <row r="31" spans="1:10" ht="29.55" customHeight="1" x14ac:dyDescent="0.2">
      <c r="A31" s="92">
        <v>4151</v>
      </c>
      <c r="B31" s="92" t="s">
        <v>116</v>
      </c>
      <c r="C31" s="96">
        <v>29466</v>
      </c>
      <c r="D31" s="96">
        <v>-926</v>
      </c>
      <c r="E31" s="96">
        <v>0</v>
      </c>
      <c r="F31" s="101">
        <v>0</v>
      </c>
      <c r="G31" s="34">
        <f t="shared" si="0"/>
        <v>-926</v>
      </c>
      <c r="H31" s="100">
        <v>0</v>
      </c>
      <c r="I31" s="51" t="s">
        <v>130</v>
      </c>
      <c r="J31" s="156" t="s">
        <v>194</v>
      </c>
    </row>
    <row r="32" spans="1:10" ht="29.55" customHeight="1" x14ac:dyDescent="0.2">
      <c r="A32" s="92">
        <v>4153</v>
      </c>
      <c r="B32" s="92" t="s">
        <v>30</v>
      </c>
      <c r="C32" s="96">
        <v>851</v>
      </c>
      <c r="D32" s="96">
        <v>136</v>
      </c>
      <c r="E32" s="96">
        <v>750</v>
      </c>
      <c r="F32" s="101">
        <v>24</v>
      </c>
      <c r="G32" s="34">
        <f>D32+F32</f>
        <v>160</v>
      </c>
      <c r="H32" s="100">
        <v>750</v>
      </c>
      <c r="I32" s="51" t="s">
        <v>51</v>
      </c>
      <c r="J32" s="150" t="s">
        <v>189</v>
      </c>
    </row>
    <row r="33" spans="1:10" ht="29.55" customHeight="1" x14ac:dyDescent="0.2">
      <c r="A33" s="92">
        <v>4154</v>
      </c>
      <c r="B33" s="92" t="s">
        <v>31</v>
      </c>
      <c r="C33" s="96">
        <v>2908</v>
      </c>
      <c r="D33" s="96">
        <v>2966</v>
      </c>
      <c r="E33" s="96">
        <v>3000</v>
      </c>
      <c r="F33" s="101">
        <v>0</v>
      </c>
      <c r="G33" s="34">
        <f t="shared" si="0"/>
        <v>2966</v>
      </c>
      <c r="H33" s="100">
        <v>3100</v>
      </c>
      <c r="I33" s="51" t="s">
        <v>164</v>
      </c>
      <c r="J33" s="156" t="s">
        <v>194</v>
      </c>
    </row>
    <row r="34" spans="1:10" ht="29.55" customHeight="1" x14ac:dyDescent="0.2">
      <c r="A34" s="92">
        <v>4162</v>
      </c>
      <c r="B34" s="92" t="s">
        <v>32</v>
      </c>
      <c r="C34" s="96">
        <v>0</v>
      </c>
      <c r="D34" s="96">
        <v>0</v>
      </c>
      <c r="E34" s="96">
        <v>2000</v>
      </c>
      <c r="F34" s="101">
        <v>0</v>
      </c>
      <c r="G34" s="34">
        <f t="shared" si="0"/>
        <v>0</v>
      </c>
      <c r="H34" s="100">
        <v>2000</v>
      </c>
      <c r="I34" s="13"/>
      <c r="J34" s="156" t="s">
        <v>194</v>
      </c>
    </row>
    <row r="35" spans="1:10" ht="29.55" customHeight="1" x14ac:dyDescent="0.2">
      <c r="A35" s="92">
        <v>4203</v>
      </c>
      <c r="B35" s="92" t="s">
        <v>46</v>
      </c>
      <c r="C35" s="96">
        <v>6120</v>
      </c>
      <c r="D35" s="96">
        <v>5370</v>
      </c>
      <c r="E35" s="96">
        <v>5370</v>
      </c>
      <c r="F35" s="101">
        <v>0</v>
      </c>
      <c r="G35" s="34">
        <f t="shared" si="0"/>
        <v>5370</v>
      </c>
      <c r="H35" s="100">
        <v>5370</v>
      </c>
      <c r="I35" s="47" t="s">
        <v>92</v>
      </c>
      <c r="J35" s="158" t="s">
        <v>193</v>
      </c>
    </row>
    <row r="36" spans="1:10" ht="52" customHeight="1" x14ac:dyDescent="0.2">
      <c r="A36" s="92">
        <v>4236</v>
      </c>
      <c r="B36" s="92" t="s">
        <v>70</v>
      </c>
      <c r="C36" s="96">
        <v>20000</v>
      </c>
      <c r="D36" s="96">
        <v>20000</v>
      </c>
      <c r="E36" s="96">
        <v>20000</v>
      </c>
      <c r="F36" s="101">
        <v>0</v>
      </c>
      <c r="G36" s="34">
        <f>D36+F36</f>
        <v>20000</v>
      </c>
      <c r="H36" s="100">
        <v>35000</v>
      </c>
      <c r="I36" s="35" t="s">
        <v>174</v>
      </c>
      <c r="J36" s="158" t="s">
        <v>193</v>
      </c>
    </row>
    <row r="37" spans="1:10" ht="29.55" customHeight="1" x14ac:dyDescent="0.2">
      <c r="A37" s="92">
        <v>4259</v>
      </c>
      <c r="B37" s="107" t="s">
        <v>128</v>
      </c>
      <c r="C37" s="96">
        <v>0</v>
      </c>
      <c r="D37" s="96">
        <v>0</v>
      </c>
      <c r="E37" s="96">
        <v>10000</v>
      </c>
      <c r="F37" s="101">
        <v>0</v>
      </c>
      <c r="G37" s="34">
        <f>D37+F37</f>
        <v>0</v>
      </c>
      <c r="H37" s="100">
        <v>10000</v>
      </c>
      <c r="I37" s="13"/>
      <c r="J37" s="160" t="s">
        <v>191</v>
      </c>
    </row>
    <row r="38" spans="1:10" ht="49.1" customHeight="1" x14ac:dyDescent="0.2">
      <c r="A38" s="92">
        <v>4280</v>
      </c>
      <c r="B38" s="92" t="s">
        <v>103</v>
      </c>
      <c r="C38" s="96">
        <v>185869</v>
      </c>
      <c r="D38" s="96">
        <v>-32650</v>
      </c>
      <c r="E38" s="96">
        <v>150000</v>
      </c>
      <c r="F38" s="101">
        <v>32650</v>
      </c>
      <c r="G38" s="34">
        <f t="shared" si="0"/>
        <v>0</v>
      </c>
      <c r="H38" s="100">
        <v>150000</v>
      </c>
      <c r="I38" s="35" t="s">
        <v>181</v>
      </c>
      <c r="J38" s="158" t="s">
        <v>193</v>
      </c>
    </row>
    <row r="39" spans="1:10" ht="29.55" customHeight="1" x14ac:dyDescent="0.2">
      <c r="A39" s="92">
        <v>4290</v>
      </c>
      <c r="B39" s="92" t="s">
        <v>33</v>
      </c>
      <c r="C39" s="96">
        <v>720</v>
      </c>
      <c r="D39" s="96">
        <v>0</v>
      </c>
      <c r="E39" s="96">
        <v>2500</v>
      </c>
      <c r="F39" s="101">
        <v>0</v>
      </c>
      <c r="G39" s="34">
        <f t="shared" si="0"/>
        <v>0</v>
      </c>
      <c r="H39" s="100">
        <v>2500</v>
      </c>
      <c r="I39" s="35" t="s">
        <v>171</v>
      </c>
      <c r="J39" s="155" t="s">
        <v>190</v>
      </c>
    </row>
    <row r="40" spans="1:10" ht="29.55" customHeight="1" x14ac:dyDescent="0.2">
      <c r="A40" s="92">
        <v>4291</v>
      </c>
      <c r="B40" s="92" t="s">
        <v>117</v>
      </c>
      <c r="C40" s="96">
        <v>0</v>
      </c>
      <c r="D40" s="96">
        <v>0</v>
      </c>
      <c r="E40" s="96">
        <v>15000</v>
      </c>
      <c r="F40" s="101">
        <v>0</v>
      </c>
      <c r="G40" s="34">
        <f t="shared" si="0"/>
        <v>0</v>
      </c>
      <c r="H40" s="100">
        <v>15000</v>
      </c>
      <c r="I40" s="13"/>
      <c r="J40" s="155" t="s">
        <v>190</v>
      </c>
    </row>
    <row r="41" spans="1:10" ht="36" customHeight="1" x14ac:dyDescent="0.2">
      <c r="A41" s="92">
        <v>4301</v>
      </c>
      <c r="B41" s="92" t="s">
        <v>34</v>
      </c>
      <c r="C41" s="96">
        <v>12030</v>
      </c>
      <c r="D41" s="96">
        <v>3644</v>
      </c>
      <c r="E41" s="96">
        <v>13250</v>
      </c>
      <c r="F41" s="101">
        <v>9600</v>
      </c>
      <c r="G41" s="34">
        <f>D41+F41</f>
        <v>13244</v>
      </c>
      <c r="H41" s="100">
        <v>14250</v>
      </c>
      <c r="I41" s="35" t="s">
        <v>172</v>
      </c>
      <c r="J41" s="161" t="s">
        <v>34</v>
      </c>
    </row>
    <row r="42" spans="1:10" ht="59.9" x14ac:dyDescent="0.2">
      <c r="A42" s="92">
        <v>4350</v>
      </c>
      <c r="B42" s="92" t="s">
        <v>77</v>
      </c>
      <c r="C42" s="96">
        <v>65299</v>
      </c>
      <c r="D42" s="96">
        <v>51000</v>
      </c>
      <c r="E42" s="96">
        <v>69360</v>
      </c>
      <c r="F42" s="101">
        <v>18000</v>
      </c>
      <c r="G42" s="34">
        <f t="shared" si="0"/>
        <v>69000</v>
      </c>
      <c r="H42" s="100">
        <f>72000*102%</f>
        <v>73440</v>
      </c>
      <c r="I42" s="35" t="s">
        <v>163</v>
      </c>
      <c r="J42" s="159" t="s">
        <v>192</v>
      </c>
    </row>
    <row r="43" spans="1:10" ht="33.549999999999997" customHeight="1" x14ac:dyDescent="0.2">
      <c r="A43" s="92">
        <v>4351</v>
      </c>
      <c r="B43" s="92" t="s">
        <v>47</v>
      </c>
      <c r="C43" s="96">
        <v>16794</v>
      </c>
      <c r="D43" s="96">
        <v>4653</v>
      </c>
      <c r="E43" s="96">
        <v>42500</v>
      </c>
      <c r="F43" s="101">
        <v>8000</v>
      </c>
      <c r="G43" s="34">
        <f>D43+F43</f>
        <v>12653</v>
      </c>
      <c r="H43" s="100">
        <f>17*3500</f>
        <v>59500</v>
      </c>
      <c r="I43" s="51" t="s">
        <v>175</v>
      </c>
      <c r="J43" s="158" t="s">
        <v>193</v>
      </c>
    </row>
    <row r="44" spans="1:10" ht="29.55" customHeight="1" x14ac:dyDescent="0.2">
      <c r="A44" s="92">
        <v>4353</v>
      </c>
      <c r="B44" s="92" t="s">
        <v>118</v>
      </c>
      <c r="C44" s="96">
        <v>10298</v>
      </c>
      <c r="D44" s="96">
        <v>49502</v>
      </c>
      <c r="E44" s="96">
        <v>50000</v>
      </c>
      <c r="F44" s="101">
        <f>7500+500</f>
        <v>8000</v>
      </c>
      <c r="G44" s="34">
        <f t="shared" si="0"/>
        <v>57502</v>
      </c>
      <c r="H44" s="100">
        <v>50000</v>
      </c>
      <c r="I44" s="79"/>
      <c r="J44" s="158" t="s">
        <v>193</v>
      </c>
    </row>
    <row r="45" spans="1:10" ht="29.55" customHeight="1" x14ac:dyDescent="0.2">
      <c r="A45" s="92">
        <v>4358</v>
      </c>
      <c r="B45" s="92" t="s">
        <v>52</v>
      </c>
      <c r="C45" s="96">
        <v>30</v>
      </c>
      <c r="D45" s="96">
        <v>0</v>
      </c>
      <c r="E45" s="104">
        <v>0</v>
      </c>
      <c r="F45" s="101">
        <v>0</v>
      </c>
      <c r="G45" s="34">
        <f t="shared" si="0"/>
        <v>0</v>
      </c>
      <c r="H45" s="106">
        <v>0</v>
      </c>
      <c r="I45" s="13"/>
      <c r="J45" s="155" t="s">
        <v>190</v>
      </c>
    </row>
    <row r="46" spans="1:10" ht="29.55" customHeight="1" x14ac:dyDescent="0.2">
      <c r="A46" s="92">
        <v>4359</v>
      </c>
      <c r="B46" s="92" t="s">
        <v>54</v>
      </c>
      <c r="C46" s="96">
        <v>68</v>
      </c>
      <c r="D46" s="96">
        <v>0</v>
      </c>
      <c r="E46" s="104">
        <v>200</v>
      </c>
      <c r="F46" s="101">
        <v>0</v>
      </c>
      <c r="G46" s="34">
        <f t="shared" si="0"/>
        <v>0</v>
      </c>
      <c r="H46" s="106">
        <v>200</v>
      </c>
      <c r="I46" s="79"/>
      <c r="J46" s="159" t="s">
        <v>192</v>
      </c>
    </row>
    <row r="47" spans="1:10" ht="29.55" customHeight="1" x14ac:dyDescent="0.2">
      <c r="A47" s="92">
        <v>4360</v>
      </c>
      <c r="B47" s="92" t="s">
        <v>62</v>
      </c>
      <c r="C47" s="96">
        <v>20000</v>
      </c>
      <c r="D47" s="96">
        <v>0</v>
      </c>
      <c r="E47" s="104">
        <v>0</v>
      </c>
      <c r="F47" s="101">
        <v>0</v>
      </c>
      <c r="G47" s="34">
        <f t="shared" si="0"/>
        <v>0</v>
      </c>
      <c r="H47" s="106">
        <v>0</v>
      </c>
      <c r="I47" s="79"/>
      <c r="J47" s="158" t="s">
        <v>193</v>
      </c>
    </row>
    <row r="48" spans="1:10" ht="29.55" customHeight="1" x14ac:dyDescent="0.2">
      <c r="A48" s="92">
        <v>4361</v>
      </c>
      <c r="B48" s="92" t="s">
        <v>119</v>
      </c>
      <c r="C48" s="96">
        <v>0</v>
      </c>
      <c r="D48" s="96">
        <v>0</v>
      </c>
      <c r="E48" s="96">
        <v>20000</v>
      </c>
      <c r="F48" s="101">
        <v>0</v>
      </c>
      <c r="G48" s="34">
        <f t="shared" si="0"/>
        <v>0</v>
      </c>
      <c r="H48" s="104">
        <v>20000</v>
      </c>
      <c r="I48" s="78"/>
      <c r="J48" s="158" t="s">
        <v>193</v>
      </c>
    </row>
    <row r="49" spans="1:10" ht="29.95" x14ac:dyDescent="0.2">
      <c r="A49" s="92">
        <v>4362</v>
      </c>
      <c r="B49" s="107" t="s">
        <v>166</v>
      </c>
      <c r="C49" s="96">
        <v>0</v>
      </c>
      <c r="D49" s="96">
        <v>0</v>
      </c>
      <c r="E49" s="96">
        <v>40000</v>
      </c>
      <c r="F49" s="101">
        <v>0</v>
      </c>
      <c r="G49" s="34">
        <f t="shared" si="0"/>
        <v>0</v>
      </c>
      <c r="H49" s="100">
        <v>40000</v>
      </c>
      <c r="I49" s="13"/>
      <c r="J49" s="159" t="s">
        <v>192</v>
      </c>
    </row>
    <row r="50" spans="1:10" ht="29.55" customHeight="1" x14ac:dyDescent="0.2">
      <c r="A50" s="92">
        <v>4386</v>
      </c>
      <c r="B50" s="92" t="s">
        <v>35</v>
      </c>
      <c r="C50" s="96">
        <v>4803</v>
      </c>
      <c r="D50" s="96">
        <v>2550</v>
      </c>
      <c r="E50" s="96">
        <v>5300</v>
      </c>
      <c r="F50" s="101">
        <f>1177.8*2</f>
        <v>2355.6</v>
      </c>
      <c r="G50" s="34">
        <f t="shared" si="0"/>
        <v>4905.6000000000004</v>
      </c>
      <c r="H50" s="100">
        <v>5300</v>
      </c>
      <c r="I50" s="35" t="s">
        <v>105</v>
      </c>
      <c r="J50" s="159" t="s">
        <v>192</v>
      </c>
    </row>
    <row r="51" spans="1:10" ht="29.55" customHeight="1" x14ac:dyDescent="0.2">
      <c r="A51" s="92">
        <v>4390</v>
      </c>
      <c r="B51" s="92" t="s">
        <v>113</v>
      </c>
      <c r="C51" s="96">
        <v>0</v>
      </c>
      <c r="D51" s="96">
        <v>180</v>
      </c>
      <c r="E51" s="96">
        <v>550</v>
      </c>
      <c r="F51" s="101">
        <v>0</v>
      </c>
      <c r="G51" s="34">
        <f t="shared" si="0"/>
        <v>180</v>
      </c>
      <c r="H51" s="100">
        <v>550</v>
      </c>
      <c r="I51" s="13"/>
      <c r="J51" s="155" t="s">
        <v>190</v>
      </c>
    </row>
    <row r="52" spans="1:10" ht="29.55" customHeight="1" x14ac:dyDescent="0.2">
      <c r="A52" s="92">
        <v>4391</v>
      </c>
      <c r="B52" s="92" t="s">
        <v>36</v>
      </c>
      <c r="C52" s="96">
        <v>70</v>
      </c>
      <c r="D52" s="96">
        <v>0</v>
      </c>
      <c r="E52" s="96">
        <v>500</v>
      </c>
      <c r="F52" s="101">
        <v>0</v>
      </c>
      <c r="G52" s="34">
        <f t="shared" si="0"/>
        <v>0</v>
      </c>
      <c r="H52" s="100">
        <v>500</v>
      </c>
      <c r="I52" s="13"/>
      <c r="J52" s="159" t="s">
        <v>192</v>
      </c>
    </row>
    <row r="53" spans="1:10" ht="29.55" customHeight="1" x14ac:dyDescent="0.2">
      <c r="A53" s="92">
        <v>4395</v>
      </c>
      <c r="B53" s="92" t="s">
        <v>37</v>
      </c>
      <c r="C53" s="96">
        <v>0</v>
      </c>
      <c r="D53" s="96">
        <v>0</v>
      </c>
      <c r="E53" s="96">
        <v>2000</v>
      </c>
      <c r="F53" s="101">
        <v>0</v>
      </c>
      <c r="G53" s="34">
        <f t="shared" si="0"/>
        <v>0</v>
      </c>
      <c r="H53" s="100">
        <v>2000</v>
      </c>
      <c r="I53" s="47" t="s">
        <v>167</v>
      </c>
      <c r="J53" s="159" t="s">
        <v>192</v>
      </c>
    </row>
    <row r="54" spans="1:10" ht="29.55" customHeight="1" x14ac:dyDescent="0.2">
      <c r="A54" s="92">
        <v>4397</v>
      </c>
      <c r="B54" s="92" t="s">
        <v>199</v>
      </c>
      <c r="C54" s="96">
        <v>0</v>
      </c>
      <c r="D54" s="96">
        <v>2400</v>
      </c>
      <c r="E54" s="96">
        <v>0</v>
      </c>
      <c r="F54" s="101">
        <v>3000</v>
      </c>
      <c r="G54" s="34">
        <f t="shared" si="0"/>
        <v>5400</v>
      </c>
      <c r="H54" s="166">
        <v>0</v>
      </c>
      <c r="I54" s="167"/>
      <c r="J54" s="159"/>
    </row>
    <row r="55" spans="1:10" ht="29.55" customHeight="1" thickBot="1" x14ac:dyDescent="0.25">
      <c r="A55" s="93"/>
      <c r="B55" s="164"/>
      <c r="C55" s="165">
        <f>SUM(C4:C54)</f>
        <v>527903</v>
      </c>
      <c r="D55" s="165">
        <f t="shared" ref="D55:G55" si="2">SUM(D4:D54)</f>
        <v>210825</v>
      </c>
      <c r="E55" s="165">
        <f t="shared" si="2"/>
        <v>608547</v>
      </c>
      <c r="F55" s="165">
        <f t="shared" si="2"/>
        <v>114049.35</v>
      </c>
      <c r="G55" s="165">
        <f t="shared" si="2"/>
        <v>324874.34999999998</v>
      </c>
      <c r="H55" s="15">
        <f>SUM(H4:H54)</f>
        <v>639353.00468800007</v>
      </c>
      <c r="I55" s="16"/>
    </row>
    <row r="56" spans="1:10" ht="29.55" customHeight="1" thickTop="1" x14ac:dyDescent="0.2">
      <c r="A56" s="91"/>
      <c r="B56" s="13"/>
      <c r="C56" s="94"/>
      <c r="D56" s="94"/>
      <c r="E56" s="13"/>
      <c r="F56" s="76"/>
      <c r="G56" s="76"/>
      <c r="H56" s="17"/>
      <c r="I56" s="16"/>
      <c r="J56" s="162"/>
    </row>
    <row r="57" spans="1:10" ht="29.55" customHeight="1" x14ac:dyDescent="0.2">
      <c r="A57" s="284" t="s">
        <v>38</v>
      </c>
      <c r="B57" s="284"/>
      <c r="C57" s="147" t="s">
        <v>154</v>
      </c>
      <c r="D57" s="272" t="s">
        <v>155</v>
      </c>
      <c r="E57" s="272"/>
      <c r="F57" s="272"/>
      <c r="G57" s="272"/>
      <c r="H57" s="292" t="s">
        <v>156</v>
      </c>
      <c r="I57" s="292"/>
    </row>
    <row r="58" spans="1:10" ht="44.95" x14ac:dyDescent="0.2">
      <c r="A58" s="284"/>
      <c r="B58" s="284"/>
      <c r="C58" s="46" t="s">
        <v>1</v>
      </c>
      <c r="D58" s="44" t="s">
        <v>198</v>
      </c>
      <c r="E58" s="44" t="s">
        <v>2</v>
      </c>
      <c r="F58" s="44" t="s">
        <v>57</v>
      </c>
      <c r="G58" s="44" t="s">
        <v>3</v>
      </c>
      <c r="H58" s="44" t="s">
        <v>4</v>
      </c>
      <c r="I58" s="65" t="s">
        <v>0</v>
      </c>
    </row>
    <row r="59" spans="1:10" ht="35.6" customHeight="1" x14ac:dyDescent="0.25">
      <c r="A59" s="95">
        <v>1076</v>
      </c>
      <c r="B59" s="95" t="s">
        <v>39</v>
      </c>
      <c r="C59" s="34">
        <v>438341</v>
      </c>
      <c r="D59" s="34">
        <v>566675</v>
      </c>
      <c r="E59" s="34">
        <v>566676</v>
      </c>
      <c r="F59" s="34">
        <v>0</v>
      </c>
      <c r="G59" s="34">
        <f>D59+F59</f>
        <v>566675</v>
      </c>
      <c r="H59" s="109">
        <f>'Precept options'!C14</f>
        <v>560695.38299999991</v>
      </c>
      <c r="I59" s="110" t="s">
        <v>182</v>
      </c>
    </row>
    <row r="60" spans="1:10" ht="35.6" customHeight="1" x14ac:dyDescent="0.25">
      <c r="A60" s="95"/>
      <c r="B60" s="149" t="s">
        <v>184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109">
        <f>8925</f>
        <v>8925</v>
      </c>
      <c r="I60" s="110" t="s">
        <v>196</v>
      </c>
    </row>
    <row r="61" spans="1:10" ht="29.55" customHeight="1" x14ac:dyDescent="0.25">
      <c r="A61" s="95">
        <v>1090</v>
      </c>
      <c r="B61" s="95" t="s">
        <v>40</v>
      </c>
      <c r="C61" s="34">
        <v>1346</v>
      </c>
      <c r="D61" s="34">
        <v>158</v>
      </c>
      <c r="E61" s="34">
        <v>600</v>
      </c>
      <c r="F61" s="34">
        <v>200</v>
      </c>
      <c r="G61" s="34">
        <f>D61+F61</f>
        <v>358</v>
      </c>
      <c r="H61" s="100">
        <v>200</v>
      </c>
      <c r="I61" s="13"/>
    </row>
    <row r="62" spans="1:10" ht="29.55" customHeight="1" x14ac:dyDescent="0.25">
      <c r="A62" s="95">
        <v>1091</v>
      </c>
      <c r="B62" s="95" t="s">
        <v>44</v>
      </c>
      <c r="C62" s="34">
        <v>42</v>
      </c>
      <c r="D62" s="34">
        <v>53</v>
      </c>
      <c r="E62" s="34">
        <v>35</v>
      </c>
      <c r="F62" s="34">
        <v>10</v>
      </c>
      <c r="G62" s="34">
        <f>D62+F62</f>
        <v>63</v>
      </c>
      <c r="H62" s="100">
        <v>35</v>
      </c>
      <c r="I62" s="13"/>
    </row>
    <row r="63" spans="1:10" ht="29.55" customHeight="1" x14ac:dyDescent="0.25">
      <c r="A63" s="95">
        <v>1101</v>
      </c>
      <c r="B63" s="95" t="s">
        <v>152</v>
      </c>
      <c r="C63" s="34">
        <v>0</v>
      </c>
      <c r="D63" s="34">
        <v>10000</v>
      </c>
      <c r="E63" s="34">
        <v>0</v>
      </c>
      <c r="F63" s="34">
        <v>0</v>
      </c>
      <c r="G63" s="34">
        <f>D63+F63</f>
        <v>10000</v>
      </c>
      <c r="H63" s="100">
        <v>0</v>
      </c>
    </row>
    <row r="64" spans="1:10" ht="29.55" customHeight="1" x14ac:dyDescent="0.25">
      <c r="A64" s="95">
        <v>1102</v>
      </c>
      <c r="B64" s="95" t="s">
        <v>153</v>
      </c>
      <c r="C64" s="34">
        <v>0</v>
      </c>
      <c r="D64" s="34">
        <v>100</v>
      </c>
      <c r="E64" s="34">
        <v>0</v>
      </c>
      <c r="F64" s="34">
        <v>0</v>
      </c>
      <c r="G64" s="34">
        <f t="shared" ref="G64" si="3">D64+F64</f>
        <v>100</v>
      </c>
      <c r="H64" s="100">
        <v>0</v>
      </c>
      <c r="I64" s="13"/>
    </row>
    <row r="65" spans="1:17" ht="29.55" customHeight="1" x14ac:dyDescent="0.25">
      <c r="A65" s="95">
        <v>1301</v>
      </c>
      <c r="B65" s="95" t="s">
        <v>41</v>
      </c>
      <c r="C65" s="34">
        <v>18261</v>
      </c>
      <c r="D65" s="34">
        <v>4</v>
      </c>
      <c r="E65" s="34">
        <v>18309</v>
      </c>
      <c r="F65" s="34">
        <v>0</v>
      </c>
      <c r="G65" s="34">
        <v>4</v>
      </c>
      <c r="H65" s="100">
        <v>18779</v>
      </c>
      <c r="I65" s="47" t="s">
        <v>169</v>
      </c>
    </row>
    <row r="66" spans="1:17" ht="29.55" customHeight="1" thickBot="1" x14ac:dyDescent="0.25">
      <c r="C66" s="15">
        <v>457989</v>
      </c>
      <c r="D66" s="15">
        <f t="shared" ref="D66:E66" si="4">SUM(D59:D65)</f>
        <v>576990</v>
      </c>
      <c r="E66" s="15">
        <f t="shared" si="4"/>
        <v>585620</v>
      </c>
      <c r="F66" s="15">
        <f>SUM(F59:F65)</f>
        <v>210</v>
      </c>
      <c r="G66" s="108">
        <f>SUM(G59:G65)</f>
        <v>577200</v>
      </c>
      <c r="H66" s="113">
        <f>SUM(H59:H65)</f>
        <v>588634.38299999991</v>
      </c>
    </row>
    <row r="67" spans="1:17" ht="29.55" customHeight="1" thickTop="1" x14ac:dyDescent="0.2">
      <c r="C67" s="19"/>
      <c r="D67" s="19"/>
      <c r="E67" s="20"/>
      <c r="F67" s="21"/>
      <c r="G67" s="21"/>
      <c r="H67" s="21"/>
    </row>
    <row r="68" spans="1:17" s="24" customFormat="1" ht="29.55" customHeight="1" x14ac:dyDescent="0.2">
      <c r="A68" s="97" t="s">
        <v>126</v>
      </c>
      <c r="B68" s="80"/>
      <c r="C68" s="98">
        <f>SUM(C66-C55)</f>
        <v>-69914</v>
      </c>
      <c r="D68" s="81"/>
      <c r="E68" s="98">
        <f>SUM(E66-E55)</f>
        <v>-22927</v>
      </c>
      <c r="F68" s="98"/>
      <c r="G68" s="111">
        <f>SUM(G66-G55)</f>
        <v>252325.65000000002</v>
      </c>
      <c r="H68" s="111">
        <f>SUM(H66-H55)</f>
        <v>-50718.621688000159</v>
      </c>
      <c r="I68" s="112" t="s">
        <v>59</v>
      </c>
      <c r="J68" s="48"/>
      <c r="K68" s="48"/>
      <c r="L68" s="48"/>
      <c r="M68" s="48"/>
      <c r="N68" s="48"/>
      <c r="O68" s="48"/>
      <c r="P68" s="48"/>
      <c r="Q68" s="48"/>
    </row>
    <row r="69" spans="1:17" ht="29.55" customHeight="1" x14ac:dyDescent="0.2">
      <c r="A69" s="82"/>
      <c r="B69" s="32"/>
      <c r="C69" s="33"/>
      <c r="D69" s="33"/>
      <c r="E69" s="31"/>
    </row>
  </sheetData>
  <sheetProtection selectLockedCells="1" selectUnlockedCells="1"/>
  <mergeCells count="8">
    <mergeCell ref="A57:B58"/>
    <mergeCell ref="D57:G57"/>
    <mergeCell ref="H57:I57"/>
    <mergeCell ref="J2:J3"/>
    <mergeCell ref="L12:N12"/>
    <mergeCell ref="A2:B3"/>
    <mergeCell ref="D2:G2"/>
    <mergeCell ref="H2:I2"/>
  </mergeCells>
  <printOptions headings="1"/>
  <pageMargins left="0.62992125984251968" right="0.23622047244094491" top="0.55118110236220474" bottom="0.94488188976377963" header="0.31496062992125984" footer="0.31496062992125984"/>
  <pageSetup paperSize="9" scale="62" fitToHeight="3" orientation="landscape" horizontalDpi="300" verticalDpi="300" r:id="rId1"/>
  <headerFooter alignWithMargins="0">
    <oddFooter>&amp;L&amp;12&amp;Z&amp;F&amp;R&amp;12&amp;P</oddFooter>
  </headerFooter>
  <rowBreaks count="2" manualBreakCount="2">
    <brk id="29" max="8" man="1"/>
    <brk id="48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8D25-EFE1-4D92-B145-02EE5FC3FDAD}">
  <dimension ref="A1:C16"/>
  <sheetViews>
    <sheetView topLeftCell="A7" zoomScale="175" zoomScaleNormal="175" workbookViewId="0">
      <selection activeCell="A18" sqref="A18"/>
    </sheetView>
  </sheetViews>
  <sheetFormatPr defaultColWidth="9.109375" defaultRowHeight="11.55" x14ac:dyDescent="0.2"/>
  <cols>
    <col min="1" max="1" width="54.33203125" style="87" customWidth="1"/>
    <col min="2" max="2" width="9.33203125" style="87" customWidth="1"/>
    <col min="3" max="3" width="8" style="87" bestFit="1" customWidth="1"/>
    <col min="4" max="16384" width="9.109375" style="87"/>
  </cols>
  <sheetData>
    <row r="1" spans="1:3" x14ac:dyDescent="0.2">
      <c r="A1" s="87" t="s">
        <v>73</v>
      </c>
    </row>
    <row r="2" spans="1:3" x14ac:dyDescent="0.2">
      <c r="A2" s="87" t="s">
        <v>146</v>
      </c>
      <c r="B2" s="88">
        <v>309873</v>
      </c>
      <c r="C2" s="88"/>
    </row>
    <row r="3" spans="1:3" x14ac:dyDescent="0.2">
      <c r="A3" s="87" t="s">
        <v>147</v>
      </c>
      <c r="B3" s="88">
        <v>77000</v>
      </c>
      <c r="C3" s="88"/>
    </row>
    <row r="4" spans="1:3" ht="12.1" thickBot="1" x14ac:dyDescent="0.25">
      <c r="A4" s="89" t="s">
        <v>127</v>
      </c>
      <c r="B4" s="90">
        <v>232873</v>
      </c>
      <c r="C4" s="88"/>
    </row>
    <row r="5" spans="1:3" ht="12.1" thickTop="1" x14ac:dyDescent="0.2">
      <c r="B5" s="88"/>
      <c r="C5" s="88"/>
    </row>
    <row r="6" spans="1:3" x14ac:dyDescent="0.2">
      <c r="A6" s="87" t="s">
        <v>148</v>
      </c>
      <c r="B6" s="88">
        <v>667697.42000000004</v>
      </c>
      <c r="C6" s="88"/>
    </row>
    <row r="7" spans="1:3" x14ac:dyDescent="0.2">
      <c r="A7" s="87" t="s">
        <v>149</v>
      </c>
      <c r="B7" s="88">
        <v>456804</v>
      </c>
      <c r="C7" s="88"/>
    </row>
    <row r="8" spans="1:3" ht="12.1" thickBot="1" x14ac:dyDescent="0.25">
      <c r="B8" s="90">
        <v>210893.42000000004</v>
      </c>
      <c r="C8" s="88"/>
    </row>
    <row r="9" spans="1:3" ht="12.1" thickTop="1" x14ac:dyDescent="0.2">
      <c r="B9" s="88"/>
      <c r="C9" s="88"/>
    </row>
    <row r="10" spans="1:3" ht="12.1" thickBot="1" x14ac:dyDescent="0.25">
      <c r="A10" s="89" t="s">
        <v>127</v>
      </c>
      <c r="B10" s="88"/>
      <c r="C10" s="90">
        <v>21979.579999999958</v>
      </c>
    </row>
    <row r="11" spans="1:3" ht="12.1" thickTop="1" x14ac:dyDescent="0.2">
      <c r="B11" s="88"/>
      <c r="C11" s="88"/>
    </row>
    <row r="12" spans="1:3" x14ac:dyDescent="0.2">
      <c r="A12" s="87" t="s">
        <v>150</v>
      </c>
      <c r="B12" s="88">
        <v>559581.9</v>
      </c>
      <c r="C12" s="88"/>
    </row>
    <row r="13" spans="1:3" x14ac:dyDescent="0.2">
      <c r="A13" s="87" t="s">
        <v>151</v>
      </c>
      <c r="B13" s="88">
        <v>465050.44699999999</v>
      </c>
      <c r="C13" s="88"/>
    </row>
    <row r="14" spans="1:3" ht="12.1" thickBot="1" x14ac:dyDescent="0.25">
      <c r="B14" s="90">
        <v>94531.453000000038</v>
      </c>
      <c r="C14" s="88"/>
    </row>
    <row r="15" spans="1:3" ht="13.25" thickTop="1" thickBot="1" x14ac:dyDescent="0.25">
      <c r="A15" s="89" t="s">
        <v>127</v>
      </c>
      <c r="B15" s="88"/>
      <c r="C15" s="85">
        <v>-72551.87300000008</v>
      </c>
    </row>
    <row r="16" spans="1:3" ht="12.1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 Budget</vt:lpstr>
      <vt:lpstr>Budget</vt:lpstr>
      <vt:lpstr>Reserves</vt:lpstr>
      <vt:lpstr>Precept options</vt:lpstr>
      <vt:lpstr>Precept form fill</vt:lpstr>
      <vt:lpstr>IGNORE THIS</vt:lpstr>
      <vt:lpstr>' Budget'!Print_Area</vt:lpstr>
      <vt:lpstr>Budget!Print_Area</vt:lpstr>
      <vt:lpstr>'Precept form fill'!Print_Area</vt:lpstr>
      <vt:lpstr>'Precept options'!Print_Area</vt:lpstr>
      <vt:lpstr>Reserves!Print_Area</vt:lpstr>
      <vt:lpstr>Budget!Print_Titles</vt:lpstr>
      <vt:lpstr>'Precept form fill'!Print_Titles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shindry</dc:creator>
  <cp:lastModifiedBy>Hindry, Susan</cp:lastModifiedBy>
  <cp:lastPrinted>2022-01-20T10:02:49Z</cp:lastPrinted>
  <dcterms:created xsi:type="dcterms:W3CDTF">2014-01-22T13:59:06Z</dcterms:created>
  <dcterms:modified xsi:type="dcterms:W3CDTF">2022-02-04T11:08:49Z</dcterms:modified>
  <cp:contentStatus/>
</cp:coreProperties>
</file>