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520" activeTab="0"/>
  </bookViews>
  <sheets>
    <sheet name="Budget" sheetId="1" r:id="rId1"/>
    <sheet name="Reserves" sheetId="2" r:id="rId2"/>
    <sheet name="SEBC Precept Form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Parish">'[3]16-17 Grants &amp; Tax Base'!$C$7:$C$8</definedName>
    <definedName name="_xlnm.Print_Titles" localSheetId="0">'Budget'!$3:$5</definedName>
  </definedNames>
  <calcPr fullCalcOnLoad="1"/>
</workbook>
</file>

<file path=xl/comments1.xml><?xml version="1.0" encoding="utf-8"?>
<comments xmlns="http://schemas.openxmlformats.org/spreadsheetml/2006/main">
  <authors>
    <author>shindry</author>
  </authors>
  <commentList>
    <comment ref="H20" authorId="0">
      <text>
        <r>
          <rPr>
            <b/>
            <sz val="8"/>
            <rFont val="Tahoma"/>
            <family val="2"/>
          </rPr>
          <t>shindry:</t>
        </r>
        <r>
          <rPr>
            <sz val="8"/>
            <rFont val="Tahoma"/>
            <family val="2"/>
          </rPr>
          <t xml:space="preserve">
£27.08 plus VAT per month plus £26 per annum for trade waste sacks</t>
        </r>
      </text>
    </comment>
    <comment ref="H21" authorId="0">
      <text>
        <r>
          <rPr>
            <b/>
            <sz val="8"/>
            <rFont val="Tahoma"/>
            <family val="2"/>
          </rPr>
          <t>shindry:</t>
        </r>
        <r>
          <rPr>
            <sz val="8"/>
            <rFont val="Tahoma"/>
            <family val="2"/>
          </rPr>
          <t xml:space="preserve">
£352 per month plus call charges of £50 per annum</t>
        </r>
      </text>
    </comment>
    <comment ref="H34" authorId="0">
      <text>
        <r>
          <rPr>
            <b/>
            <sz val="8"/>
            <rFont val="Tahoma"/>
            <family val="2"/>
          </rPr>
          <t>shindry:</t>
        </r>
        <r>
          <rPr>
            <sz val="8"/>
            <rFont val="Tahoma"/>
            <family val="2"/>
          </rPr>
          <t xml:space="preserve">
£103.02 per quarter plus VAT
</t>
        </r>
      </text>
    </comment>
    <comment ref="C74" authorId="0">
      <text>
        <r>
          <rPr>
            <b/>
            <sz val="10"/>
            <rFont val="Tahoma"/>
            <family val="2"/>
          </rPr>
          <t>shindry:</t>
        </r>
        <r>
          <rPr>
            <sz val="10"/>
            <rFont val="Tahoma"/>
            <family val="2"/>
          </rPr>
          <t xml:space="preserve">
Adopted year end accounts</t>
        </r>
      </text>
    </comment>
    <comment ref="F4" authorId="0">
      <text>
        <r>
          <rPr>
            <b/>
            <sz val="10"/>
            <rFont val="Tahoma"/>
            <family val="2"/>
          </rPr>
          <t>shindry:</t>
        </r>
        <r>
          <rPr>
            <sz val="10"/>
            <rFont val="Tahoma"/>
            <family val="2"/>
          </rPr>
          <t xml:space="preserve">
includes committed expenditure such as grants not yet claimed etc</t>
        </r>
      </text>
    </comment>
  </commentList>
</comments>
</file>

<file path=xl/sharedStrings.xml><?xml version="1.0" encoding="utf-8"?>
<sst xmlns="http://schemas.openxmlformats.org/spreadsheetml/2006/main" count="165" uniqueCount="158">
  <si>
    <t>Notes</t>
  </si>
  <si>
    <t>Actual</t>
  </si>
  <si>
    <t>Agreed Budget</t>
  </si>
  <si>
    <t>Projected Year End</t>
  </si>
  <si>
    <t>Next Year Budget</t>
  </si>
  <si>
    <t>Budget</t>
  </si>
  <si>
    <t>EXPENDITURE</t>
  </si>
  <si>
    <t>Staff Salaries Gross</t>
  </si>
  <si>
    <t>Employers National Insurance</t>
  </si>
  <si>
    <t>Employers Pension Costs</t>
  </si>
  <si>
    <t>Agency/Temporary Staff</t>
  </si>
  <si>
    <t>Staff Travel</t>
  </si>
  <si>
    <t>Training &amp; Other Staff Costs</t>
  </si>
  <si>
    <t>Recruitment Advertising</t>
  </si>
  <si>
    <t>Allowance - Chairman</t>
  </si>
  <si>
    <t>Annual report to residents</t>
  </si>
  <si>
    <t>Audit - Independent</t>
  </si>
  <si>
    <t>Audit -External</t>
  </si>
  <si>
    <t>Bank Charges</t>
  </si>
  <si>
    <t>Business Rates</t>
  </si>
  <si>
    <t>Cleaning</t>
  </si>
  <si>
    <t>Fortnightly office cleaning and purchase of trade waste sacks</t>
  </si>
  <si>
    <t>Computer Mtce incl Phones</t>
  </si>
  <si>
    <t>Computer maintenance, tech. support, back ups and phone charges except call costs are fixed per contract</t>
  </si>
  <si>
    <t>Computer Software</t>
  </si>
  <si>
    <t>Election Expenses</t>
  </si>
  <si>
    <t>Emergency repairs/maintenance</t>
  </si>
  <si>
    <t>Health &amp; Safety</t>
  </si>
  <si>
    <t>Insurance</t>
  </si>
  <si>
    <t>Legal Expenses</t>
  </si>
  <si>
    <t>Office Equipment</t>
  </si>
  <si>
    <t>Office Rental</t>
  </si>
  <si>
    <t>Office Service Charge</t>
  </si>
  <si>
    <t>Professional Fees</t>
  </si>
  <si>
    <t>Clerk &amp; Asst. Clerk membership of SLCC</t>
  </si>
  <si>
    <t>Petty Cash</t>
  </si>
  <si>
    <t>Photocopier Rental</t>
  </si>
  <si>
    <t>Photocopy Costs</t>
  </si>
  <si>
    <t>Section 137</t>
  </si>
  <si>
    <t>Stationery</t>
  </si>
  <si>
    <t>All stationery items including printer toner cartridges</t>
  </si>
  <si>
    <t>Subscriptions</t>
  </si>
  <si>
    <t>Training - Councillors</t>
  </si>
  <si>
    <t>Travel - Councillors</t>
  </si>
  <si>
    <t>Bury in Bloom</t>
  </si>
  <si>
    <t>Grant funding</t>
  </si>
  <si>
    <t>St Edmunds Day Celebrations</t>
  </si>
  <si>
    <t>Allotments</t>
  </si>
  <si>
    <t>Routine maintenance (grass cutting, hedge cutting); water charges, emergency repairs; development of new site; costs of leased land to SEBC</t>
  </si>
  <si>
    <t>Cash Grant Aid to Groups</t>
  </si>
  <si>
    <t>Litter Bins</t>
  </si>
  <si>
    <t>Salt/Grit Bins</t>
  </si>
  <si>
    <t>New/replacement bins, cost of filling bins on unadopted roads</t>
  </si>
  <si>
    <t>War Memorials</t>
  </si>
  <si>
    <t>Annual cleaning prior to Remembrance Day services; Repairs and other maintenance following inspections and reports</t>
  </si>
  <si>
    <t>INCOME</t>
  </si>
  <si>
    <t>Precept Received</t>
  </si>
  <si>
    <t>LCTS Compensation Grant</t>
  </si>
  <si>
    <t>Bank &amp; Investment Interest</t>
  </si>
  <si>
    <t>Allotment Income</t>
  </si>
  <si>
    <t>St Edmund's Day DONATIONS</t>
  </si>
  <si>
    <t>SURPLUS/DEFICIENCY FOR YEAR</t>
  </si>
  <si>
    <t>Ear marked Reserves (see separate sheet for details)</t>
  </si>
  <si>
    <t>Risks identified in risk assessment</t>
  </si>
  <si>
    <t>"Omega" financial software and support</t>
  </si>
  <si>
    <t>Office redecoration (per lease)</t>
  </si>
  <si>
    <t>Newsletter</t>
  </si>
  <si>
    <t>Barclays Loyalty Reward</t>
  </si>
  <si>
    <t>Heating, lighting, water and all services provided under the terms of the lease</t>
  </si>
  <si>
    <t>Existing contract paid up</t>
  </si>
  <si>
    <t>SALC subscription; Data Protection registration</t>
  </si>
  <si>
    <t>Rent review on 10th anniversary i.e. 10 December 2019</t>
  </si>
  <si>
    <t>includes Remembrance Day wreaths</t>
  </si>
  <si>
    <t>General Power of Competence is used instead</t>
  </si>
  <si>
    <t>Remembrance Day Service</t>
  </si>
  <si>
    <t>Weekly emptying of all litter bins and dog bin plus provision for new ones</t>
  </si>
  <si>
    <t>Administration</t>
  </si>
  <si>
    <t>Grants to Other Bodies</t>
  </si>
  <si>
    <t>Haverhill Arts Centre</t>
  </si>
  <si>
    <t>Other Expenses</t>
  </si>
  <si>
    <t>Transfer to/from Reserves</t>
  </si>
  <si>
    <t>Net Expenditure</t>
  </si>
  <si>
    <t>Less</t>
  </si>
  <si>
    <t>Local Council Tax Support Grant</t>
  </si>
  <si>
    <t>Town Precept</t>
  </si>
  <si>
    <t>Tax Base</t>
  </si>
  <si>
    <t>Town Band D Council Tax</t>
  </si>
  <si>
    <t>ST EDMUNDSBURY BOROUGH COUNCIL</t>
  </si>
  <si>
    <t>Application for Grant &amp; Precept</t>
  </si>
  <si>
    <t xml:space="preserve">TOWN COUNCIL OF: </t>
  </si>
  <si>
    <t>Bury St Edmunds</t>
  </si>
  <si>
    <t xml:space="preserve">Details of the Town Clerk: </t>
  </si>
  <si>
    <t>Mrs Julia Dyball</t>
  </si>
  <si>
    <t xml:space="preserve">Address: </t>
  </si>
  <si>
    <t xml:space="preserve">Tel No: </t>
  </si>
  <si>
    <t>01284 725111</t>
  </si>
  <si>
    <t xml:space="preserve">E-Mail: </t>
  </si>
  <si>
    <t>julia.dyball@burystedmunds.suffolk.gov.uk</t>
  </si>
  <si>
    <t>2015/16</t>
  </si>
  <si>
    <t>Expenditure</t>
  </si>
  <si>
    <t>Income</t>
  </si>
  <si>
    <t xml:space="preserve">Chairman of Town Council: </t>
  </si>
  <si>
    <t xml:space="preserve">Town Clerk: </t>
  </si>
  <si>
    <t>EAR MARKED RESERVES</t>
  </si>
  <si>
    <t>Bury St Edmunds Town Council Budget 2016- 2017</t>
  </si>
  <si>
    <t>Current Year (to 31 March 2016)</t>
  </si>
  <si>
    <t>Next Year (01.04.16)</t>
  </si>
  <si>
    <t>Ring fenced Reserves (see separate sheet for details)</t>
  </si>
  <si>
    <t>General Reserves at 31st March 2015</t>
  </si>
  <si>
    <t>Hiring - Room Space</t>
  </si>
  <si>
    <t>Includes West Suffolk College Award £100 cash</t>
  </si>
  <si>
    <t>including BID levy £175</t>
  </si>
  <si>
    <t>2016/17 24.2% of gross salary</t>
  </si>
  <si>
    <r>
      <t>With water £7.55/Without water £5.87/Cotton Lane E plots £9.20 per rod</t>
    </r>
    <r>
      <rPr>
        <vertAlign val="superscript"/>
        <sz val="12"/>
        <rFont val="Tahoma"/>
        <family val="2"/>
      </rPr>
      <t>2</t>
    </r>
  </si>
  <si>
    <t xml:space="preserve">THIS IS THE FINAL YEAR OF LCTS </t>
  </si>
  <si>
    <t>Councillor Locality budgets</t>
  </si>
  <si>
    <t>TOWN COUNCIL ESTIMATE 2016/17</t>
  </si>
  <si>
    <t>Please complete the following &amp; return to the Chief Financial Officer by 31 January 2016</t>
  </si>
  <si>
    <t>*Please select your Town Council from drop down list</t>
  </si>
  <si>
    <r>
      <t xml:space="preserve">Date of Town Council Meeting, </t>
    </r>
    <r>
      <rPr>
        <sz val="8"/>
        <rFont val="Verdana"/>
        <family val="2"/>
      </rPr>
      <t>approving estimates</t>
    </r>
    <r>
      <rPr>
        <sz val="10"/>
        <rFont val="Verdana"/>
        <family val="2"/>
      </rPr>
      <t xml:space="preserve"> </t>
    </r>
  </si>
  <si>
    <t>Town Council Offices, 7 Angel Hill, Bury St Edmunds, IP33 1UZ</t>
  </si>
  <si>
    <t>The amount requested by the above mentioned Town Council by way of grant aid &amp; precept in the year 1 April 2016 to 31 March 2017 is as follows:</t>
  </si>
  <si>
    <t>2016/17</t>
  </si>
  <si>
    <t>General Services</t>
  </si>
  <si>
    <t>Civic Costs</t>
  </si>
  <si>
    <t>Community Events &amp; Christmas</t>
  </si>
  <si>
    <r>
      <t>Increase/</t>
    </r>
    <r>
      <rPr>
        <sz val="11"/>
        <color indexed="10"/>
        <rFont val="Verdana"/>
        <family val="2"/>
      </rPr>
      <t>-Decrease</t>
    </r>
  </si>
  <si>
    <r>
      <t>Percentage Increase/</t>
    </r>
    <r>
      <rPr>
        <sz val="11"/>
        <color indexed="10"/>
        <rFont val="Verdana"/>
        <family val="2"/>
      </rPr>
      <t>-Decrease</t>
    </r>
  </si>
  <si>
    <t>1 April 2016 – Eers NIC increases by 3.4% to 13.8% as from 6 April 2016 due to removal of contracted out rebate</t>
  </si>
  <si>
    <t>£0.005095 per copy from 31.1.16</t>
  </si>
  <si>
    <t>Actual to Dec 15</t>
  </si>
  <si>
    <t>Bury St Edmunds Town Council Budget 2016-2017</t>
  </si>
  <si>
    <t>RING FENCED RESERVES</t>
  </si>
  <si>
    <t>Details</t>
  </si>
  <si>
    <t>006/21/May/14 248/25/Mar/15</t>
  </si>
  <si>
    <t>126/15/Oct/14</t>
  </si>
  <si>
    <t>Destination Management Plan for Bury St Edmunds</t>
  </si>
  <si>
    <t xml:space="preserve">B17 Flying Fortress plane or representation thereof sculpture on the roundabout at Mount Road junction with Lady Miriam Way </t>
  </si>
  <si>
    <t>Resolution</t>
  </si>
  <si>
    <t>Two by-elections during the year (average £3,000 per ward)</t>
  </si>
  <si>
    <t>Grant funding pot with sports emphasis</t>
  </si>
  <si>
    <t>Grant funding pot with elderly/well being emphasis</t>
  </si>
  <si>
    <t>Letter to residents</t>
  </si>
  <si>
    <t>Grant funding general pot</t>
  </si>
  <si>
    <t>Last Year (to 31.03.15)</t>
  </si>
  <si>
    <t xml:space="preserve">Two PCSOs </t>
  </si>
  <si>
    <t>1 year contract @ £32,000 each</t>
  </si>
  <si>
    <t>Increased to £2,500 per Councillor</t>
  </si>
  <si>
    <t>Relocation of offices</t>
  </si>
  <si>
    <t>051/24/Jun/15</t>
  </si>
  <si>
    <t>Guildhall Project</t>
  </si>
  <si>
    <t>087/23/Sep/15</t>
  </si>
  <si>
    <t>As at 31st March 2017……………………………………………………………………………………</t>
  </si>
  <si>
    <t>As at 31st March 2016…………………………………………………………………….</t>
  </si>
  <si>
    <r>
      <t>Projected General Reserves (</t>
    </r>
    <r>
      <rPr>
        <b/>
        <u val="single"/>
        <sz val="12"/>
        <rFont val="Tahoma"/>
        <family val="2"/>
      </rPr>
      <t>including</t>
    </r>
    <r>
      <rPr>
        <b/>
        <sz val="12"/>
        <rFont val="Tahoma"/>
        <family val="2"/>
      </rPr>
      <t xml:space="preserve"> protected minimum level of £60,000) </t>
    </r>
  </si>
  <si>
    <t>Amount</t>
  </si>
  <si>
    <t>GENERAL RESERVES - MINIMUM LEVEL (PROTECTED)</t>
  </si>
  <si>
    <t>2016/17 tax base 12,925.88 (2015/2016 Tax base 12762.10)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</si>
</sst>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_(* #,##0.00_);_(* \(#,##0.00\);_(* &quot;-&quot;??_);_(@_)"/>
    <numFmt numFmtId="171" formatCode="&quot;£&quot;* #,##0_);[Red]&quot;£&quot;* \-#,##0_);&quot;£&quot;* &quot;-&quot;_)"/>
    <numFmt numFmtId="172" formatCode="#,##0_);[Red]\-#,##0_)"/>
    <numFmt numFmtId="173" formatCode="#,##0.00_);[Red]\-#,##0.00_)"/>
    <numFmt numFmtId="174" formatCode="#,##0.00_);[Red]\-#,##0.00_);&quot;-&quot;_)"/>
    <numFmt numFmtId="175" formatCode="&quot;£&quot;* #,##0.00_);[Red]&quot;£&quot;* \-#,##0.00_);&quot;£&quot;* &quot;-&quot;_)"/>
    <numFmt numFmtId="176" formatCode="0.00%;[Red]\-0.00%"/>
    <numFmt numFmtId="177" formatCode="[$-809]dd\ mmmm\ yyyy"/>
    <numFmt numFmtId="178" formatCode="[$-F800]dddd\,\ mmmm\ dd\,\ yyyy"/>
    <numFmt numFmtId="179" formatCode="&quot;£&quot;#,##0.0;\-&quot;£&quot;#,##0.0"/>
    <numFmt numFmtId="180" formatCode="_(* #,##0_);_(* \(#,##0\);_(* &quot;-&quot;_);_(@_)"/>
    <numFmt numFmtId="181" formatCode="&quot;£&quot;#,##0.0000"/>
    <numFmt numFmtId="182" formatCode="_-[$£-809]* #,##0_-;\-[$£-809]* #,##0_-;_-[$£-809]* &quot;-&quot;??_-;_-@_-"/>
  </numFmts>
  <fonts count="63"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0"/>
      <name val="Arial"/>
      <family val="2"/>
    </font>
    <font>
      <sz val="11"/>
      <name val="Tahoma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4"/>
      <name val="Arial"/>
      <family val="2"/>
    </font>
    <font>
      <sz val="11"/>
      <color indexed="10"/>
      <name val="Verdana"/>
      <family val="2"/>
    </font>
    <font>
      <sz val="12"/>
      <name val="Wingdings"/>
      <family val="0"/>
    </font>
    <font>
      <vertAlign val="superscript"/>
      <sz val="12"/>
      <name val="Tahoma"/>
      <family val="2"/>
    </font>
    <font>
      <b/>
      <sz val="12"/>
      <name val="Tahom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.5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.5"/>
      <name val="Verdana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name val="Tahoma"/>
      <family val="2"/>
    </font>
    <font>
      <u val="single"/>
      <sz val="10"/>
      <color indexed="30"/>
      <name val="Tahoma"/>
      <family val="2"/>
    </font>
    <font>
      <sz val="10"/>
      <color indexed="8"/>
      <name val="Tahoma"/>
      <family val="2"/>
    </font>
    <font>
      <sz val="8"/>
      <color indexed="10"/>
      <name val="Verdana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u val="single"/>
      <sz val="10"/>
      <color theme="10"/>
      <name val="Tahoma"/>
      <family val="2"/>
    </font>
    <font>
      <sz val="10"/>
      <color theme="1"/>
      <name val="Tahoma"/>
      <family val="2"/>
    </font>
    <font>
      <sz val="8"/>
      <color rgb="FFFF0000"/>
      <name val="Verdan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4" borderId="1" applyNumberFormat="0" applyAlignment="0" applyProtection="0"/>
    <xf numFmtId="0" fontId="5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8">
    <xf numFmtId="0" fontId="0" fillId="0" borderId="0" xfId="0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23" fillId="0" borderId="0" xfId="0" applyFont="1" applyAlignment="1" applyProtection="1">
      <alignment horizontal="left" vertical="center"/>
      <protection locked="0"/>
    </xf>
    <xf numFmtId="3" fontId="29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 applyProtection="1">
      <alignment horizontal="left" vertical="center"/>
      <protection locked="0"/>
    </xf>
    <xf numFmtId="3" fontId="29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 wrapText="1" shrinkToFit="1"/>
    </xf>
    <xf numFmtId="0" fontId="29" fillId="0" borderId="10" xfId="0" applyFont="1" applyBorder="1" applyAlignment="1" applyProtection="1">
      <alignment horizontal="left" vertical="center"/>
      <protection locked="0"/>
    </xf>
    <xf numFmtId="0" fontId="55" fillId="0" borderId="0" xfId="63">
      <alignment/>
      <protection/>
    </xf>
    <xf numFmtId="0" fontId="36" fillId="0" borderId="0" xfId="63" applyFont="1" applyAlignment="1" applyProtection="1">
      <alignment horizontal="center" wrapText="1"/>
      <protection/>
    </xf>
    <xf numFmtId="0" fontId="56" fillId="0" borderId="0" xfId="63" applyFont="1" applyAlignment="1" applyProtection="1">
      <alignment horizontal="left" vertical="center"/>
      <protection/>
    </xf>
    <xf numFmtId="0" fontId="38" fillId="0" borderId="0" xfId="63" applyFont="1" applyAlignment="1" applyProtection="1">
      <alignment/>
      <protection/>
    </xf>
    <xf numFmtId="0" fontId="38" fillId="0" borderId="0" xfId="63" applyFont="1" applyBorder="1" applyAlignment="1" applyProtection="1">
      <alignment/>
      <protection/>
    </xf>
    <xf numFmtId="0" fontId="38" fillId="0" borderId="0" xfId="63" applyFont="1" applyBorder="1" applyAlignment="1" applyProtection="1">
      <alignment horizontal="center"/>
      <protection/>
    </xf>
    <xf numFmtId="0" fontId="38" fillId="0" borderId="0" xfId="63" applyFont="1" applyAlignment="1" applyProtection="1">
      <alignment horizontal="right"/>
      <protection/>
    </xf>
    <xf numFmtId="0" fontId="54" fillId="0" borderId="11" xfId="56" applyBorder="1" applyAlignment="1" applyProtection="1">
      <alignment/>
      <protection/>
    </xf>
    <xf numFmtId="0" fontId="40" fillId="0" borderId="11" xfId="63" applyFont="1" applyBorder="1" applyAlignment="1" applyProtection="1">
      <alignment/>
      <protection/>
    </xf>
    <xf numFmtId="0" fontId="36" fillId="0" borderId="0" xfId="63" applyFont="1" applyAlignment="1" applyProtection="1">
      <alignment vertical="center"/>
      <protection/>
    </xf>
    <xf numFmtId="0" fontId="40" fillId="0" borderId="0" xfId="63" applyFont="1" applyAlignment="1" applyProtection="1">
      <alignment horizontal="center"/>
      <protection/>
    </xf>
    <xf numFmtId="0" fontId="38" fillId="0" borderId="0" xfId="63" applyFont="1" applyAlignment="1" applyProtection="1">
      <alignment horizontal="left" vertical="center"/>
      <protection/>
    </xf>
    <xf numFmtId="0" fontId="38" fillId="0" borderId="12" xfId="63" applyFont="1" applyBorder="1" applyAlignment="1" applyProtection="1">
      <alignment horizontal="left" vertical="center"/>
      <protection/>
    </xf>
    <xf numFmtId="171" fontId="37" fillId="0" borderId="10" xfId="63" applyNumberFormat="1" applyFont="1" applyBorder="1" applyAlignment="1" applyProtection="1">
      <alignment vertical="center"/>
      <protection locked="0"/>
    </xf>
    <xf numFmtId="171" fontId="37" fillId="17" borderId="10" xfId="63" applyNumberFormat="1" applyFont="1" applyFill="1" applyBorder="1" applyAlignment="1" applyProtection="1">
      <alignment vertical="center"/>
      <protection locked="0"/>
    </xf>
    <xf numFmtId="0" fontId="38" fillId="0" borderId="0" xfId="63" applyFont="1" applyAlignment="1" applyProtection="1">
      <alignment vertical="center"/>
      <protection/>
    </xf>
    <xf numFmtId="172" fontId="38" fillId="0" borderId="0" xfId="63" applyNumberFormat="1" applyFont="1" applyAlignment="1" applyProtection="1">
      <alignment vertical="center"/>
      <protection/>
    </xf>
    <xf numFmtId="171" fontId="38" fillId="18" borderId="13" xfId="63" applyNumberFormat="1" applyFont="1" applyFill="1" applyBorder="1" applyAlignment="1" applyProtection="1">
      <alignment vertical="center"/>
      <protection locked="0"/>
    </xf>
    <xf numFmtId="172" fontId="38" fillId="0" borderId="0" xfId="63" applyNumberFormat="1" applyFont="1" applyBorder="1" applyAlignment="1" applyProtection="1">
      <alignment vertical="center"/>
      <protection/>
    </xf>
    <xf numFmtId="171" fontId="38" fillId="0" borderId="10" xfId="63" applyNumberFormat="1" applyFont="1" applyBorder="1" applyAlignment="1" applyProtection="1">
      <alignment vertical="center"/>
      <protection locked="0"/>
    </xf>
    <xf numFmtId="173" fontId="38" fillId="0" borderId="0" xfId="63" applyNumberFormat="1" applyFont="1" applyAlignment="1" applyProtection="1">
      <alignment/>
      <protection/>
    </xf>
    <xf numFmtId="174" fontId="37" fillId="0" borderId="10" xfId="63" applyNumberFormat="1" applyFont="1" applyBorder="1" applyAlignment="1" applyProtection="1">
      <alignment vertical="center"/>
      <protection locked="0"/>
    </xf>
    <xf numFmtId="175" fontId="38" fillId="18" borderId="13" xfId="63" applyNumberFormat="1" applyFont="1" applyFill="1" applyBorder="1" applyAlignment="1" applyProtection="1">
      <alignment vertical="center"/>
      <protection locked="0"/>
    </xf>
    <xf numFmtId="174" fontId="38" fillId="0" borderId="0" xfId="63" applyNumberFormat="1" applyFont="1" applyFill="1" applyBorder="1" applyAlignment="1" applyProtection="1">
      <alignment vertical="center"/>
      <protection locked="0"/>
    </xf>
    <xf numFmtId="176" fontId="38" fillId="18" borderId="13" xfId="63" applyNumberFormat="1" applyFont="1" applyFill="1" applyBorder="1" applyAlignment="1" applyProtection="1">
      <alignment vertical="center"/>
      <protection locked="0"/>
    </xf>
    <xf numFmtId="0" fontId="38" fillId="0" borderId="0" xfId="63" applyFont="1" applyAlignment="1" applyProtection="1">
      <alignment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top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57" fillId="0" borderId="0" xfId="0" applyFont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34" fillId="0" borderId="0" xfId="64" applyFont="1" applyAlignment="1" applyProtection="1">
      <alignment horizontal="left" vertical="top"/>
      <protection locked="0"/>
    </xf>
    <xf numFmtId="0" fontId="29" fillId="0" borderId="0" xfId="64" applyFont="1" applyAlignment="1" applyProtection="1">
      <alignment horizontal="left" vertical="top"/>
      <protection locked="0"/>
    </xf>
    <xf numFmtId="0" fontId="29" fillId="0" borderId="0" xfId="64" applyFont="1" applyBorder="1" applyAlignment="1" applyProtection="1">
      <alignment horizontal="left" vertical="top"/>
      <protection locked="0"/>
    </xf>
    <xf numFmtId="168" fontId="29" fillId="0" borderId="10" xfId="64" applyNumberFormat="1" applyFont="1" applyBorder="1" applyAlignment="1">
      <alignment vertical="top" wrapText="1"/>
      <protection/>
    </xf>
    <xf numFmtId="0" fontId="58" fillId="0" borderId="0" xfId="64" applyFont="1" applyAlignment="1" applyProtection="1">
      <alignment horizontal="left" vertical="top"/>
      <protection locked="0"/>
    </xf>
    <xf numFmtId="168" fontId="29" fillId="0" borderId="10" xfId="64" applyNumberFormat="1" applyFont="1" applyBorder="1" applyAlignment="1" applyProtection="1">
      <alignment horizontal="right" vertical="top"/>
      <protection locked="0"/>
    </xf>
    <xf numFmtId="168" fontId="29" fillId="0" borderId="13" xfId="64" applyNumberFormat="1" applyFont="1" applyBorder="1" applyAlignment="1" applyProtection="1">
      <alignment horizontal="right" vertical="top"/>
      <protection locked="0"/>
    </xf>
    <xf numFmtId="0" fontId="58" fillId="0" borderId="0" xfId="64" applyFont="1" applyBorder="1" applyAlignment="1" applyProtection="1">
      <alignment horizontal="left" vertical="top"/>
      <protection locked="0"/>
    </xf>
    <xf numFmtId="168" fontId="29" fillId="0" borderId="0" xfId="64" applyNumberFormat="1" applyFont="1" applyBorder="1" applyAlignment="1" applyProtection="1">
      <alignment horizontal="right" vertical="top"/>
      <protection/>
    </xf>
    <xf numFmtId="0" fontId="34" fillId="0" borderId="10" xfId="64" applyFont="1" applyBorder="1" applyAlignment="1" applyProtection="1">
      <alignment horizontal="left" vertical="top"/>
      <protection locked="0"/>
    </xf>
    <xf numFmtId="0" fontId="34" fillId="0" borderId="10" xfId="64" applyFont="1" applyBorder="1" applyAlignment="1">
      <alignment horizontal="center" vertical="top" wrapText="1"/>
      <protection/>
    </xf>
    <xf numFmtId="168" fontId="58" fillId="0" borderId="0" xfId="64" applyNumberFormat="1" applyFont="1" applyBorder="1" applyAlignment="1" applyProtection="1">
      <alignment horizontal="right" vertical="top"/>
      <protection/>
    </xf>
    <xf numFmtId="6" fontId="59" fillId="0" borderId="0" xfId="64" applyNumberFormat="1" applyFont="1" applyBorder="1" applyAlignment="1">
      <alignment horizontal="center" vertical="top" wrapText="1"/>
      <protection/>
    </xf>
    <xf numFmtId="0" fontId="42" fillId="0" borderId="0" xfId="0" applyFont="1" applyBorder="1" applyAlignment="1" applyProtection="1">
      <alignment horizontal="left" vertical="top"/>
      <protection locked="0"/>
    </xf>
    <xf numFmtId="168" fontId="42" fillId="0" borderId="0" xfId="46" applyNumberFormat="1" applyFont="1" applyBorder="1" applyAlignment="1" applyProtection="1">
      <alignment horizontal="left" vertical="top"/>
      <protection locked="0"/>
    </xf>
    <xf numFmtId="169" fontId="42" fillId="0" borderId="0" xfId="46" applyNumberFormat="1" applyFont="1" applyBorder="1" applyAlignment="1" applyProtection="1">
      <alignment horizontal="right" vertical="top"/>
      <protection/>
    </xf>
    <xf numFmtId="0" fontId="60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/>
    </xf>
    <xf numFmtId="1" fontId="28" fillId="0" borderId="10" xfId="0" applyNumberFormat="1" applyFont="1" applyBorder="1" applyAlignment="1" applyProtection="1">
      <alignment horizontal="left" vertical="center"/>
      <protection locked="0"/>
    </xf>
    <xf numFmtId="5" fontId="28" fillId="0" borderId="10" xfId="0" applyNumberFormat="1" applyFont="1" applyBorder="1" applyAlignment="1" applyProtection="1">
      <alignment horizontal="right" vertical="center"/>
      <protection/>
    </xf>
    <xf numFmtId="5" fontId="28" fillId="0" borderId="10" xfId="0" applyNumberFormat="1" applyFont="1" applyFill="1" applyBorder="1" applyAlignment="1" applyProtection="1">
      <alignment horizontal="right" vertical="center"/>
      <protection/>
    </xf>
    <xf numFmtId="1" fontId="28" fillId="0" borderId="0" xfId="0" applyNumberFormat="1" applyFont="1" applyAlignment="1" applyProtection="1">
      <alignment horizontal="left" vertical="center"/>
      <protection locked="0"/>
    </xf>
    <xf numFmtId="5" fontId="43" fillId="0" borderId="14" xfId="0" applyNumberFormat="1" applyFont="1" applyBorder="1" applyAlignment="1" applyProtection="1">
      <alignment horizontal="right" vertical="center"/>
      <protection/>
    </xf>
    <xf numFmtId="0" fontId="44" fillId="0" borderId="0" xfId="0" applyFont="1" applyAlignment="1" applyProtection="1">
      <alignment horizontal="left" vertical="center"/>
      <protection locked="0"/>
    </xf>
    <xf numFmtId="5" fontId="28" fillId="0" borderId="10" xfId="0" applyNumberFormat="1" applyFont="1" applyBorder="1" applyAlignment="1" applyProtection="1">
      <alignment horizontal="right" vertical="center"/>
      <protection locked="0"/>
    </xf>
    <xf numFmtId="3" fontId="28" fillId="0" borderId="0" xfId="0" applyNumberFormat="1" applyFont="1" applyBorder="1" applyAlignment="1" applyProtection="1">
      <alignment horizontal="right" vertical="center"/>
      <protection/>
    </xf>
    <xf numFmtId="3" fontId="28" fillId="0" borderId="0" xfId="0" applyNumberFormat="1" applyFont="1" applyBorder="1" applyAlignment="1" applyProtection="1">
      <alignment horizontal="right" vertical="center"/>
      <protection locked="0"/>
    </xf>
    <xf numFmtId="3" fontId="29" fillId="0" borderId="0" xfId="0" applyNumberFormat="1" applyFont="1" applyAlignment="1">
      <alignment vertical="center"/>
    </xf>
    <xf numFmtId="3" fontId="29" fillId="0" borderId="0" xfId="0" applyNumberFormat="1" applyFont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168" fontId="34" fillId="18" borderId="0" xfId="0" applyNumberFormat="1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3" fontId="29" fillId="0" borderId="0" xfId="0" applyNumberFormat="1" applyFont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5" fontId="29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Fill="1" applyAlignment="1">
      <alignment horizontal="right" vertical="center"/>
    </xf>
    <xf numFmtId="3" fontId="61" fillId="0" borderId="10" xfId="0" applyNumberFormat="1" applyFont="1" applyBorder="1" applyAlignment="1">
      <alignment vertical="center" wrapText="1"/>
    </xf>
    <xf numFmtId="0" fontId="61" fillId="0" borderId="1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168" fontId="58" fillId="0" borderId="0" xfId="64" applyNumberFormat="1" applyFont="1" applyBorder="1" applyAlignment="1">
      <alignment vertical="top" wrapText="1"/>
      <protection/>
    </xf>
    <xf numFmtId="168" fontId="34" fillId="0" borderId="0" xfId="0" applyNumberFormat="1" applyFont="1" applyFill="1" applyAlignment="1">
      <alignment horizontal="right" vertical="center"/>
    </xf>
    <xf numFmtId="0" fontId="28" fillId="0" borderId="10" xfId="0" applyFont="1" applyBorder="1" applyAlignment="1" applyProtection="1">
      <alignment horizontal="left" vertical="center" wrapText="1"/>
      <protection locked="0"/>
    </xf>
    <xf numFmtId="168" fontId="58" fillId="0" borderId="0" xfId="64" applyNumberFormat="1" applyFont="1" applyBorder="1" applyAlignment="1" applyProtection="1">
      <alignment horizontal="right" vertical="top"/>
      <protection locked="0"/>
    </xf>
    <xf numFmtId="0" fontId="34" fillId="0" borderId="0" xfId="64" applyFont="1" applyBorder="1" applyAlignment="1" applyProtection="1">
      <alignment horizontal="left" vertical="top"/>
      <protection locked="0"/>
    </xf>
    <xf numFmtId="168" fontId="29" fillId="0" borderId="0" xfId="64" applyNumberFormat="1" applyFont="1" applyBorder="1" applyAlignment="1" applyProtection="1">
      <alignment horizontal="right" vertical="top"/>
      <protection locked="0"/>
    </xf>
    <xf numFmtId="0" fontId="34" fillId="0" borderId="10" xfId="0" applyFont="1" applyBorder="1" applyAlignment="1">
      <alignment vertical="center" wrapText="1"/>
    </xf>
    <xf numFmtId="168" fontId="29" fillId="0" borderId="15" xfId="64" applyNumberFormat="1" applyFont="1" applyBorder="1" applyAlignment="1" applyProtection="1">
      <alignment horizontal="right" vertical="top"/>
      <protection/>
    </xf>
    <xf numFmtId="168" fontId="29" fillId="0" borderId="13" xfId="64" applyNumberFormat="1" applyFont="1" applyBorder="1" applyAlignment="1" applyProtection="1">
      <alignment horizontal="right" vertical="top"/>
      <protection/>
    </xf>
    <xf numFmtId="0" fontId="28" fillId="0" borderId="10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1" fontId="30" fillId="0" borderId="0" xfId="0" applyNumberFormat="1" applyFont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34" fillId="0" borderId="0" xfId="64" applyFont="1" applyBorder="1" applyAlignment="1" applyProtection="1">
      <alignment horizontal="left" vertical="top"/>
      <protection locked="0"/>
    </xf>
    <xf numFmtId="0" fontId="34" fillId="0" borderId="0" xfId="64" applyFont="1" applyAlignment="1" applyProtection="1">
      <alignment horizontal="left" vertical="top"/>
      <protection locked="0"/>
    </xf>
    <xf numFmtId="0" fontId="59" fillId="0" borderId="0" xfId="64" applyFont="1" applyBorder="1" applyAlignment="1">
      <alignment horizontal="center" vertical="top" wrapText="1"/>
      <protection/>
    </xf>
    <xf numFmtId="0" fontId="29" fillId="0" borderId="10" xfId="64" applyFont="1" applyBorder="1" applyAlignment="1" applyProtection="1">
      <alignment horizontal="left" vertical="top"/>
      <protection locked="0"/>
    </xf>
    <xf numFmtId="0" fontId="34" fillId="0" borderId="10" xfId="0" applyFont="1" applyBorder="1" applyAlignment="1">
      <alignment horizontal="left" vertical="center" wrapText="1"/>
    </xf>
    <xf numFmtId="0" fontId="38" fillId="0" borderId="11" xfId="63" applyFont="1" applyBorder="1" applyAlignment="1" applyProtection="1">
      <alignment horizontal="center"/>
      <protection/>
    </xf>
    <xf numFmtId="0" fontId="38" fillId="0" borderId="0" xfId="63" applyFont="1" applyBorder="1" applyAlignment="1" applyProtection="1">
      <alignment horizontal="left" vertical="center"/>
      <protection/>
    </xf>
    <xf numFmtId="0" fontId="38" fillId="0" borderId="0" xfId="63" applyFont="1" applyAlignment="1" applyProtection="1">
      <alignment horizontal="left"/>
      <protection/>
    </xf>
    <xf numFmtId="0" fontId="38" fillId="0" borderId="11" xfId="63" applyFont="1" applyBorder="1" applyAlignment="1" applyProtection="1">
      <alignment horizontal="center"/>
      <protection locked="0"/>
    </xf>
    <xf numFmtId="0" fontId="38" fillId="0" borderId="0" xfId="63" applyFont="1" applyAlignment="1" applyProtection="1">
      <alignment horizontal="left" vertical="center"/>
      <protection/>
    </xf>
    <xf numFmtId="0" fontId="38" fillId="0" borderId="12" xfId="63" applyFont="1" applyBorder="1" applyAlignment="1" applyProtection="1">
      <alignment horizontal="left" vertical="center"/>
      <protection/>
    </xf>
    <xf numFmtId="0" fontId="41" fillId="0" borderId="0" xfId="63" applyFont="1" applyAlignment="1" applyProtection="1">
      <alignment horizontal="center" vertical="center" wrapText="1"/>
      <protection/>
    </xf>
    <xf numFmtId="0" fontId="36" fillId="0" borderId="0" xfId="63" applyFont="1" applyAlignment="1" applyProtection="1">
      <alignment horizontal="center" vertical="center"/>
      <protection/>
    </xf>
    <xf numFmtId="0" fontId="56" fillId="0" borderId="0" xfId="63" applyFont="1" applyAlignment="1" applyProtection="1">
      <alignment horizontal="left"/>
      <protection/>
    </xf>
    <xf numFmtId="0" fontId="38" fillId="0" borderId="11" xfId="63" applyFont="1" applyBorder="1" applyAlignment="1" applyProtection="1">
      <alignment horizontal="left"/>
      <protection locked="0"/>
    </xf>
    <xf numFmtId="0" fontId="35" fillId="0" borderId="0" xfId="63" applyFont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38" fillId="0" borderId="0" xfId="63" applyFont="1" applyBorder="1" applyAlignment="1" applyProtection="1">
      <alignment horizontal="left"/>
      <protection/>
    </xf>
    <xf numFmtId="0" fontId="38" fillId="17" borderId="16" xfId="63" applyFont="1" applyFill="1" applyBorder="1" applyAlignment="1" applyProtection="1">
      <alignment horizontal="center" vertical="center"/>
      <protection locked="0"/>
    </xf>
    <xf numFmtId="0" fontId="38" fillId="17" borderId="17" xfId="63" applyFont="1" applyFill="1" applyBorder="1" applyAlignment="1" applyProtection="1">
      <alignment horizontal="center" vertical="center"/>
      <protection locked="0"/>
    </xf>
    <xf numFmtId="0" fontId="38" fillId="17" borderId="18" xfId="63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_Budget 2014 - 2015 v1 (FP&amp;R 13.11.13)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S\MTFS\Financial%20Forward%20Plan%202014%20-%202017%20(adopted%20FTC%2023.10.1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uncil%20Tax%20Support%20Grant%202014-15%20to%202016-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cept%20Form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Ear marked reserves"/>
    </sheetNames>
    <sheetDataSet>
      <sheetData sheetId="0">
        <row r="12">
          <cell r="F12">
            <v>0</v>
          </cell>
        </row>
        <row r="33">
          <cell r="F33">
            <v>160</v>
          </cell>
        </row>
        <row r="39">
          <cell r="F39">
            <v>6000</v>
          </cell>
        </row>
        <row r="42">
          <cell r="F42">
            <v>650</v>
          </cell>
        </row>
        <row r="46">
          <cell r="F46">
            <v>2000</v>
          </cell>
        </row>
        <row r="47">
          <cell r="F47">
            <v>5000</v>
          </cell>
        </row>
        <row r="53">
          <cell r="F53">
            <v>400</v>
          </cell>
        </row>
        <row r="57">
          <cell r="F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SG"/>
    </sheetNames>
    <sheetDataSet>
      <sheetData sheetId="0">
        <row r="83">
          <cell r="F83">
            <v>9661.5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cept Form"/>
      <sheetName val="15-16 Information"/>
      <sheetName val="16-17 Grants &amp; Tax Base"/>
    </sheetNames>
    <sheetDataSet>
      <sheetData sheetId="1">
        <row r="7">
          <cell r="C7" t="str">
            <v>Bury St Edmunds</v>
          </cell>
          <cell r="D7">
            <v>86270</v>
          </cell>
          <cell r="E7">
            <v>20000</v>
          </cell>
          <cell r="F7">
            <v>5000</v>
          </cell>
          <cell r="G7">
            <v>0</v>
          </cell>
          <cell r="H7">
            <v>59302</v>
          </cell>
          <cell r="I7">
            <v>19820</v>
          </cell>
          <cell r="J7">
            <v>0</v>
          </cell>
          <cell r="K7">
            <v>0</v>
          </cell>
          <cell r="L7">
            <v>6748</v>
          </cell>
          <cell r="M7">
            <v>197140</v>
          </cell>
          <cell r="N7">
            <v>400</v>
          </cell>
          <cell r="O7">
            <v>0</v>
          </cell>
          <cell r="P7">
            <v>14790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15190</v>
          </cell>
          <cell r="X7">
            <v>181950</v>
          </cell>
          <cell r="Y7">
            <v>9662</v>
          </cell>
          <cell r="Z7">
            <v>9662</v>
          </cell>
          <cell r="AA7">
            <v>172288</v>
          </cell>
          <cell r="AB7">
            <v>12762.1</v>
          </cell>
          <cell r="AC7">
            <v>13.5</v>
          </cell>
        </row>
        <row r="8">
          <cell r="C8" t="str">
            <v>Haverhill</v>
          </cell>
          <cell r="D8">
            <v>603451</v>
          </cell>
          <cell r="E8">
            <v>52400</v>
          </cell>
          <cell r="F8">
            <v>0</v>
          </cell>
          <cell r="G8">
            <v>281805</v>
          </cell>
          <cell r="H8">
            <v>15300</v>
          </cell>
          <cell r="I8">
            <v>0</v>
          </cell>
          <cell r="J8">
            <v>11700</v>
          </cell>
          <cell r="K8">
            <v>157010</v>
          </cell>
          <cell r="L8">
            <v>4562</v>
          </cell>
          <cell r="M8">
            <v>1126228</v>
          </cell>
          <cell r="N8">
            <v>100948</v>
          </cell>
          <cell r="O8">
            <v>0</v>
          </cell>
          <cell r="P8">
            <v>0</v>
          </cell>
          <cell r="Q8">
            <v>136250</v>
          </cell>
          <cell r="R8">
            <v>1700</v>
          </cell>
          <cell r="S8">
            <v>0</v>
          </cell>
          <cell r="T8">
            <v>0</v>
          </cell>
          <cell r="U8">
            <v>36690</v>
          </cell>
          <cell r="V8">
            <v>0</v>
          </cell>
          <cell r="W8">
            <v>275588</v>
          </cell>
          <cell r="X8">
            <v>850640</v>
          </cell>
          <cell r="Y8">
            <v>64467</v>
          </cell>
          <cell r="Z8">
            <v>64467</v>
          </cell>
          <cell r="AA8">
            <v>786173</v>
          </cell>
          <cell r="AB8">
            <v>7035.11</v>
          </cell>
          <cell r="AC8">
            <v>111.75</v>
          </cell>
        </row>
      </sheetData>
      <sheetData sheetId="2">
        <row r="7">
          <cell r="C7" t="str">
            <v>Bury St Edmunds</v>
          </cell>
          <cell r="D7">
            <v>0</v>
          </cell>
          <cell r="E7">
            <v>4831</v>
          </cell>
          <cell r="F7">
            <v>12925.882218396795</v>
          </cell>
        </row>
        <row r="8">
          <cell r="C8" t="str">
            <v>Haverhill</v>
          </cell>
          <cell r="D8">
            <v>0</v>
          </cell>
          <cell r="E8">
            <v>32233</v>
          </cell>
          <cell r="F8">
            <v>7169.713005127873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ulia.dyball@burystedmunds.suffolk.gov.uk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="85" zoomScaleNormal="85" zoomScalePageLayoutView="0" workbookViewId="0" topLeftCell="A1">
      <selection activeCell="H53" sqref="H53"/>
    </sheetView>
  </sheetViews>
  <sheetFormatPr defaultColWidth="9.140625" defaultRowHeight="20.25" customHeight="1"/>
  <cols>
    <col min="1" max="1" width="7.421875" style="1" customWidth="1"/>
    <col min="2" max="2" width="36.00390625" style="1" customWidth="1"/>
    <col min="3" max="3" width="17.57421875" style="64" customWidth="1"/>
    <col min="4" max="4" width="13.140625" style="1" customWidth="1"/>
    <col min="5" max="5" width="14.140625" style="1" customWidth="1"/>
    <col min="6" max="6" width="13.8515625" style="1" customWidth="1"/>
    <col min="7" max="7" width="15.421875" style="1" customWidth="1"/>
    <col min="8" max="8" width="90.28125" style="1" customWidth="1"/>
    <col min="9" max="16384" width="9.140625" style="1" customWidth="1"/>
  </cols>
  <sheetData>
    <row r="1" spans="1:9" ht="20.25" customHeight="1">
      <c r="A1" s="6" t="s">
        <v>104</v>
      </c>
      <c r="H1" s="65"/>
      <c r="I1" s="63"/>
    </row>
    <row r="3" spans="3:8" ht="31.5">
      <c r="C3" s="66" t="s">
        <v>144</v>
      </c>
      <c r="D3" s="101" t="s">
        <v>105</v>
      </c>
      <c r="E3" s="102"/>
      <c r="F3" s="103"/>
      <c r="G3" s="66" t="s">
        <v>106</v>
      </c>
      <c r="H3" s="100" t="s">
        <v>0</v>
      </c>
    </row>
    <row r="4" spans="3:8" ht="20.25" customHeight="1">
      <c r="C4" s="105" t="s">
        <v>1</v>
      </c>
      <c r="D4" s="106" t="s">
        <v>2</v>
      </c>
      <c r="E4" s="106" t="s">
        <v>130</v>
      </c>
      <c r="F4" s="106" t="s">
        <v>3</v>
      </c>
      <c r="G4" s="106" t="s">
        <v>4</v>
      </c>
      <c r="H4" s="100"/>
    </row>
    <row r="5" spans="3:8" ht="20.25" customHeight="1">
      <c r="C5" s="105"/>
      <c r="D5" s="106"/>
      <c r="E5" s="106"/>
      <c r="F5" s="106" t="s">
        <v>1</v>
      </c>
      <c r="G5" s="106" t="s">
        <v>5</v>
      </c>
      <c r="H5" s="100"/>
    </row>
    <row r="6" spans="1:7" ht="25.5" customHeight="1">
      <c r="A6" s="104" t="s">
        <v>6</v>
      </c>
      <c r="B6" s="104"/>
      <c r="C6" s="104"/>
      <c r="D6" s="104"/>
      <c r="E6" s="104"/>
      <c r="F6" s="104"/>
      <c r="G6" s="104"/>
    </row>
    <row r="7" spans="1:8" ht="23.25" customHeight="1">
      <c r="A7" s="67">
        <v>4000</v>
      </c>
      <c r="B7" s="2" t="s">
        <v>7</v>
      </c>
      <c r="C7" s="68">
        <v>63819</v>
      </c>
      <c r="D7" s="68">
        <v>64500</v>
      </c>
      <c r="E7" s="68">
        <v>43925</v>
      </c>
      <c r="F7" s="68">
        <v>66149</v>
      </c>
      <c r="G7" s="68">
        <f>D7*1.02</f>
        <v>65790</v>
      </c>
      <c r="H7" s="7"/>
    </row>
    <row r="8" spans="1:8" ht="30">
      <c r="A8" s="67">
        <v>4001</v>
      </c>
      <c r="B8" s="2" t="s">
        <v>8</v>
      </c>
      <c r="C8" s="68">
        <v>4075</v>
      </c>
      <c r="D8" s="68">
        <v>4160</v>
      </c>
      <c r="E8" s="68">
        <v>2820</v>
      </c>
      <c r="F8" s="68">
        <v>4265</v>
      </c>
      <c r="G8" s="68">
        <v>4390</v>
      </c>
      <c r="H8" s="40" t="s">
        <v>128</v>
      </c>
    </row>
    <row r="9" spans="1:8" ht="20.25" customHeight="1">
      <c r="A9" s="67">
        <v>4002</v>
      </c>
      <c r="B9" s="2" t="s">
        <v>9</v>
      </c>
      <c r="C9" s="68">
        <v>11954</v>
      </c>
      <c r="D9" s="68">
        <v>13730</v>
      </c>
      <c r="E9" s="68">
        <v>9226</v>
      </c>
      <c r="F9" s="68">
        <v>15308</v>
      </c>
      <c r="G9" s="68">
        <f>G7/100*24.2</f>
        <v>15921.179999999998</v>
      </c>
      <c r="H9" s="7" t="s">
        <v>112</v>
      </c>
    </row>
    <row r="10" spans="1:8" ht="20.25" customHeight="1">
      <c r="A10" s="67">
        <v>4003</v>
      </c>
      <c r="B10" s="2" t="s">
        <v>10</v>
      </c>
      <c r="C10" s="68">
        <v>0</v>
      </c>
      <c r="D10" s="68">
        <v>550</v>
      </c>
      <c r="E10" s="68">
        <v>0</v>
      </c>
      <c r="F10" s="68">
        <v>0</v>
      </c>
      <c r="G10" s="68">
        <v>560</v>
      </c>
      <c r="H10" s="7"/>
    </row>
    <row r="11" spans="1:8" ht="20.25" customHeight="1">
      <c r="A11" s="67">
        <v>4004</v>
      </c>
      <c r="B11" s="2" t="s">
        <v>11</v>
      </c>
      <c r="C11" s="68">
        <v>61</v>
      </c>
      <c r="D11" s="68">
        <v>330</v>
      </c>
      <c r="E11" s="68">
        <v>45</v>
      </c>
      <c r="F11" s="68">
        <v>195</v>
      </c>
      <c r="G11" s="68">
        <v>340</v>
      </c>
      <c r="H11" s="39"/>
    </row>
    <row r="12" spans="1:8" ht="20.25" customHeight="1">
      <c r="A12" s="67">
        <v>4005</v>
      </c>
      <c r="B12" s="2" t="s">
        <v>12</v>
      </c>
      <c r="C12" s="68">
        <v>2418</v>
      </c>
      <c r="D12" s="68">
        <v>3000</v>
      </c>
      <c r="E12" s="68">
        <v>148</v>
      </c>
      <c r="F12" s="68">
        <v>250</v>
      </c>
      <c r="G12" s="68">
        <f>D12*1.02</f>
        <v>3060</v>
      </c>
      <c r="H12" s="7"/>
    </row>
    <row r="13" spans="1:8" ht="20.25" customHeight="1">
      <c r="A13" s="67">
        <v>4006</v>
      </c>
      <c r="B13" s="2" t="s">
        <v>13</v>
      </c>
      <c r="C13" s="68">
        <v>0</v>
      </c>
      <c r="D13" s="68">
        <f>'[1]Budget'!$F$12</f>
        <v>0</v>
      </c>
      <c r="E13" s="68">
        <v>977</v>
      </c>
      <c r="F13" s="68">
        <v>977</v>
      </c>
      <c r="G13" s="68">
        <f>D13*1.02</f>
        <v>0</v>
      </c>
      <c r="H13" s="7"/>
    </row>
    <row r="14" spans="1:8" ht="20.25" customHeight="1">
      <c r="A14" s="67">
        <v>4106</v>
      </c>
      <c r="B14" s="2" t="s">
        <v>14</v>
      </c>
      <c r="C14" s="68">
        <v>0</v>
      </c>
      <c r="D14" s="68">
        <v>205</v>
      </c>
      <c r="E14" s="68">
        <v>144</v>
      </c>
      <c r="F14" s="68">
        <v>205</v>
      </c>
      <c r="G14" s="68">
        <v>210</v>
      </c>
      <c r="H14" s="7"/>
    </row>
    <row r="15" spans="1:8" ht="20.25" customHeight="1">
      <c r="A15" s="67">
        <v>4110</v>
      </c>
      <c r="B15" s="2" t="s">
        <v>15</v>
      </c>
      <c r="C15" s="68">
        <v>789</v>
      </c>
      <c r="D15" s="68">
        <v>700</v>
      </c>
      <c r="E15" s="68">
        <v>-760</v>
      </c>
      <c r="F15" s="68">
        <v>800</v>
      </c>
      <c r="G15" s="68">
        <v>715</v>
      </c>
      <c r="H15" s="7"/>
    </row>
    <row r="16" spans="1:8" ht="20.25" customHeight="1">
      <c r="A16" s="67">
        <v>4112</v>
      </c>
      <c r="B16" s="2" t="s">
        <v>16</v>
      </c>
      <c r="C16" s="68">
        <v>295</v>
      </c>
      <c r="D16" s="68">
        <v>330</v>
      </c>
      <c r="E16" s="68">
        <v>0</v>
      </c>
      <c r="F16" s="68">
        <v>295</v>
      </c>
      <c r="G16" s="68">
        <v>340</v>
      </c>
      <c r="H16" s="7"/>
    </row>
    <row r="17" spans="1:8" ht="20.25" customHeight="1">
      <c r="A17" s="67">
        <v>4113</v>
      </c>
      <c r="B17" s="2" t="s">
        <v>17</v>
      </c>
      <c r="C17" s="68">
        <v>600</v>
      </c>
      <c r="D17" s="68">
        <v>600</v>
      </c>
      <c r="E17" s="68">
        <v>0</v>
      </c>
      <c r="F17" s="68">
        <v>600</v>
      </c>
      <c r="G17" s="68">
        <v>615</v>
      </c>
      <c r="H17" s="7"/>
    </row>
    <row r="18" spans="1:8" ht="20.25" customHeight="1">
      <c r="A18" s="67">
        <v>4115</v>
      </c>
      <c r="B18" s="2" t="s">
        <v>18</v>
      </c>
      <c r="C18" s="68">
        <v>120</v>
      </c>
      <c r="D18" s="68">
        <v>1000</v>
      </c>
      <c r="E18" s="68">
        <v>225</v>
      </c>
      <c r="F18" s="68">
        <v>300</v>
      </c>
      <c r="G18" s="68">
        <v>1000</v>
      </c>
      <c r="H18" s="7"/>
    </row>
    <row r="19" spans="1:8" ht="20.25" customHeight="1">
      <c r="A19" s="67">
        <v>4118</v>
      </c>
      <c r="B19" s="2" t="s">
        <v>19</v>
      </c>
      <c r="C19" s="68">
        <v>5986</v>
      </c>
      <c r="D19" s="68">
        <v>3900</v>
      </c>
      <c r="E19" s="68">
        <v>3631</v>
      </c>
      <c r="F19" s="68">
        <v>4015</v>
      </c>
      <c r="G19" s="68">
        <f>D19*1.02</f>
        <v>3978</v>
      </c>
      <c r="H19" s="7" t="s">
        <v>111</v>
      </c>
    </row>
    <row r="20" spans="1:8" ht="20.25" customHeight="1">
      <c r="A20" s="67">
        <v>4124</v>
      </c>
      <c r="B20" s="2" t="s">
        <v>20</v>
      </c>
      <c r="C20" s="68">
        <v>515</v>
      </c>
      <c r="D20" s="68">
        <v>375</v>
      </c>
      <c r="E20" s="68">
        <v>162</v>
      </c>
      <c r="F20" s="68">
        <v>270</v>
      </c>
      <c r="G20" s="68">
        <f>D20*1.02</f>
        <v>382.5</v>
      </c>
      <c r="H20" s="7" t="s">
        <v>21</v>
      </c>
    </row>
    <row r="21" spans="1:8" ht="36" customHeight="1">
      <c r="A21" s="67">
        <v>4125</v>
      </c>
      <c r="B21" s="2" t="s">
        <v>22</v>
      </c>
      <c r="C21" s="68">
        <v>4247</v>
      </c>
      <c r="D21" s="68">
        <v>4325</v>
      </c>
      <c r="E21" s="68">
        <v>2841</v>
      </c>
      <c r="F21" s="68">
        <v>4274</v>
      </c>
      <c r="G21" s="68">
        <v>4415</v>
      </c>
      <c r="H21" s="7" t="s">
        <v>23</v>
      </c>
    </row>
    <row r="22" spans="1:8" ht="21.75" customHeight="1">
      <c r="A22" s="67">
        <v>4126</v>
      </c>
      <c r="B22" s="2" t="s">
        <v>24</v>
      </c>
      <c r="C22" s="68">
        <v>230</v>
      </c>
      <c r="D22" s="68">
        <v>234</v>
      </c>
      <c r="E22" s="68">
        <v>254</v>
      </c>
      <c r="F22" s="68">
        <v>254</v>
      </c>
      <c r="G22" s="68">
        <v>240</v>
      </c>
      <c r="H22" s="7" t="s">
        <v>64</v>
      </c>
    </row>
    <row r="23" spans="1:8" ht="21.75" customHeight="1">
      <c r="A23" s="67">
        <v>4128</v>
      </c>
      <c r="B23" s="2" t="s">
        <v>25</v>
      </c>
      <c r="C23" s="68">
        <v>0</v>
      </c>
      <c r="D23" s="68">
        <v>18000</v>
      </c>
      <c r="E23" s="68">
        <v>18209</v>
      </c>
      <c r="F23" s="68">
        <v>18209</v>
      </c>
      <c r="G23" s="68">
        <v>6000</v>
      </c>
      <c r="H23" s="7" t="s">
        <v>139</v>
      </c>
    </row>
    <row r="24" spans="1:8" ht="20.25" customHeight="1">
      <c r="A24" s="67">
        <v>4131</v>
      </c>
      <c r="B24" s="2" t="s">
        <v>26</v>
      </c>
      <c r="C24" s="68">
        <v>0</v>
      </c>
      <c r="D24" s="68">
        <v>500</v>
      </c>
      <c r="E24" s="68">
        <v>0</v>
      </c>
      <c r="F24" s="68">
        <v>0</v>
      </c>
      <c r="G24" s="68">
        <f>D24*1.02</f>
        <v>510</v>
      </c>
      <c r="H24" s="8"/>
    </row>
    <row r="25" spans="1:8" ht="20.25" customHeight="1">
      <c r="A25" s="67">
        <v>4132</v>
      </c>
      <c r="B25" s="2" t="s">
        <v>27</v>
      </c>
      <c r="C25" s="68">
        <v>40</v>
      </c>
      <c r="D25" s="68">
        <v>200</v>
      </c>
      <c r="E25" s="68">
        <v>87</v>
      </c>
      <c r="F25" s="68">
        <v>87</v>
      </c>
      <c r="G25" s="68">
        <v>200</v>
      </c>
      <c r="H25" s="8"/>
    </row>
    <row r="26" spans="1:8" ht="20.25" customHeight="1">
      <c r="A26" s="67">
        <v>4133</v>
      </c>
      <c r="B26" s="2" t="s">
        <v>28</v>
      </c>
      <c r="C26" s="68">
        <v>2674</v>
      </c>
      <c r="D26" s="68">
        <v>4630</v>
      </c>
      <c r="E26" s="68">
        <v>3567</v>
      </c>
      <c r="F26" s="68">
        <v>3997</v>
      </c>
      <c r="G26" s="68">
        <f>D26*1.02</f>
        <v>4722.6</v>
      </c>
      <c r="H26" s="8"/>
    </row>
    <row r="27" spans="1:8" ht="20.25" customHeight="1">
      <c r="A27" s="67">
        <v>4136</v>
      </c>
      <c r="B27" s="2" t="s">
        <v>29</v>
      </c>
      <c r="C27" s="68">
        <v>2947</v>
      </c>
      <c r="D27" s="68">
        <v>1030</v>
      </c>
      <c r="E27" s="68">
        <v>0</v>
      </c>
      <c r="F27" s="68">
        <v>0</v>
      </c>
      <c r="G27" s="68">
        <v>1050</v>
      </c>
      <c r="H27" s="7"/>
    </row>
    <row r="28" spans="1:8" ht="20.25" customHeight="1">
      <c r="A28" s="67">
        <v>4139</v>
      </c>
      <c r="B28" s="2" t="s">
        <v>66</v>
      </c>
      <c r="C28" s="68">
        <v>0</v>
      </c>
      <c r="D28" s="68">
        <v>0</v>
      </c>
      <c r="E28" s="68">
        <v>0</v>
      </c>
      <c r="F28" s="68">
        <v>0</v>
      </c>
      <c r="G28" s="68">
        <f>D28*1.02</f>
        <v>0</v>
      </c>
      <c r="H28" s="7"/>
    </row>
    <row r="29" spans="1:8" ht="20.25" customHeight="1">
      <c r="A29" s="67">
        <v>4140</v>
      </c>
      <c r="B29" s="2" t="s">
        <v>30</v>
      </c>
      <c r="C29" s="68">
        <v>135</v>
      </c>
      <c r="D29" s="68">
        <v>0</v>
      </c>
      <c r="E29" s="68">
        <v>0</v>
      </c>
      <c r="F29" s="68">
        <v>150</v>
      </c>
      <c r="G29" s="68">
        <f>D29*1.02</f>
        <v>0</v>
      </c>
      <c r="H29" s="9"/>
    </row>
    <row r="30" spans="1:8" ht="20.25" customHeight="1">
      <c r="A30" s="67">
        <v>4141</v>
      </c>
      <c r="B30" s="2" t="s">
        <v>31</v>
      </c>
      <c r="C30" s="68">
        <v>16763</v>
      </c>
      <c r="D30" s="68">
        <v>11750</v>
      </c>
      <c r="E30" s="68">
        <v>11175</v>
      </c>
      <c r="F30" s="68">
        <v>11175</v>
      </c>
      <c r="G30" s="68">
        <v>11175</v>
      </c>
      <c r="H30" s="9" t="s">
        <v>71</v>
      </c>
    </row>
    <row r="31" spans="1:8" ht="20.25" customHeight="1">
      <c r="A31" s="67">
        <v>4142</v>
      </c>
      <c r="B31" s="2" t="s">
        <v>32</v>
      </c>
      <c r="C31" s="68">
        <v>5973</v>
      </c>
      <c r="D31" s="68">
        <v>3983</v>
      </c>
      <c r="E31" s="68">
        <v>2986</v>
      </c>
      <c r="F31" s="68">
        <v>3981</v>
      </c>
      <c r="G31" s="68">
        <v>3981</v>
      </c>
      <c r="H31" s="7" t="s">
        <v>68</v>
      </c>
    </row>
    <row r="32" spans="1:8" ht="20.25" customHeight="1">
      <c r="A32" s="67">
        <v>4145</v>
      </c>
      <c r="B32" s="2" t="s">
        <v>33</v>
      </c>
      <c r="C32" s="68">
        <v>414</v>
      </c>
      <c r="D32" s="68">
        <v>440</v>
      </c>
      <c r="E32" s="68">
        <v>420</v>
      </c>
      <c r="F32" s="68">
        <v>630</v>
      </c>
      <c r="G32" s="68">
        <f>D32*1.02</f>
        <v>448.8</v>
      </c>
      <c r="H32" s="9" t="s">
        <v>34</v>
      </c>
    </row>
    <row r="33" spans="1:8" ht="20.25" customHeight="1">
      <c r="A33" s="67">
        <v>4146</v>
      </c>
      <c r="B33" s="2" t="s">
        <v>35</v>
      </c>
      <c r="C33" s="68">
        <v>781</v>
      </c>
      <c r="D33" s="68">
        <v>800</v>
      </c>
      <c r="E33" s="68">
        <v>509</v>
      </c>
      <c r="F33" s="68">
        <v>800</v>
      </c>
      <c r="G33" s="68">
        <v>820</v>
      </c>
      <c r="H33" s="9"/>
    </row>
    <row r="34" spans="1:8" ht="20.25" customHeight="1">
      <c r="A34" s="67">
        <v>4147</v>
      </c>
      <c r="B34" s="2" t="s">
        <v>36</v>
      </c>
      <c r="C34" s="68">
        <v>0</v>
      </c>
      <c r="D34" s="68">
        <v>1000</v>
      </c>
      <c r="E34" s="68">
        <v>0</v>
      </c>
      <c r="F34" s="68">
        <v>0</v>
      </c>
      <c r="G34" s="68">
        <v>0</v>
      </c>
      <c r="H34" s="7" t="s">
        <v>69</v>
      </c>
    </row>
    <row r="35" spans="1:8" ht="20.25" customHeight="1">
      <c r="A35" s="67">
        <v>4148</v>
      </c>
      <c r="B35" s="2" t="s">
        <v>37</v>
      </c>
      <c r="C35" s="68">
        <v>127</v>
      </c>
      <c r="D35" s="68">
        <f>'[1]Budget'!$F$33</f>
        <v>160</v>
      </c>
      <c r="E35" s="68">
        <v>58</v>
      </c>
      <c r="F35" s="68">
        <v>148</v>
      </c>
      <c r="G35" s="68">
        <v>165</v>
      </c>
      <c r="H35" s="7" t="s">
        <v>129</v>
      </c>
    </row>
    <row r="36" spans="1:8" ht="20.25" customHeight="1">
      <c r="A36" s="67">
        <v>4151</v>
      </c>
      <c r="B36" s="2" t="s">
        <v>38</v>
      </c>
      <c r="C36" s="68">
        <v>250</v>
      </c>
      <c r="D36" s="68">
        <v>0</v>
      </c>
      <c r="E36" s="68">
        <v>0</v>
      </c>
      <c r="F36" s="68">
        <v>0</v>
      </c>
      <c r="G36" s="68">
        <f>D36*1.02</f>
        <v>0</v>
      </c>
      <c r="H36" s="9" t="s">
        <v>73</v>
      </c>
    </row>
    <row r="37" spans="1:8" ht="20.25" customHeight="1">
      <c r="A37" s="67">
        <v>4153</v>
      </c>
      <c r="B37" s="2" t="s">
        <v>39</v>
      </c>
      <c r="C37" s="68">
        <v>357</v>
      </c>
      <c r="D37" s="68">
        <v>300</v>
      </c>
      <c r="E37" s="68">
        <v>170</v>
      </c>
      <c r="F37" s="68">
        <v>300</v>
      </c>
      <c r="G37" s="68">
        <v>310</v>
      </c>
      <c r="H37" s="9" t="s">
        <v>40</v>
      </c>
    </row>
    <row r="38" spans="1:8" ht="20.25" customHeight="1">
      <c r="A38" s="67">
        <v>4154</v>
      </c>
      <c r="B38" s="2" t="s">
        <v>41</v>
      </c>
      <c r="C38" s="68">
        <v>2673</v>
      </c>
      <c r="D38" s="68">
        <v>2840</v>
      </c>
      <c r="E38" s="68">
        <v>2733</v>
      </c>
      <c r="F38" s="68">
        <v>2768</v>
      </c>
      <c r="G38" s="68">
        <f>D38*1.02</f>
        <v>2896.8</v>
      </c>
      <c r="H38" s="7" t="s">
        <v>70</v>
      </c>
    </row>
    <row r="39" spans="1:8" ht="20.25" customHeight="1">
      <c r="A39" s="67">
        <v>4162</v>
      </c>
      <c r="B39" s="2" t="s">
        <v>42</v>
      </c>
      <c r="C39" s="68">
        <v>0</v>
      </c>
      <c r="D39" s="68">
        <v>2000</v>
      </c>
      <c r="E39" s="68">
        <v>75</v>
      </c>
      <c r="F39" s="68">
        <v>75</v>
      </c>
      <c r="G39" s="68">
        <f>D39*1.02</f>
        <v>2040</v>
      </c>
      <c r="H39" s="7"/>
    </row>
    <row r="40" spans="1:8" ht="20.25" customHeight="1">
      <c r="A40" s="67">
        <v>4163</v>
      </c>
      <c r="B40" s="2" t="s">
        <v>43</v>
      </c>
      <c r="C40" s="68">
        <v>0</v>
      </c>
      <c r="D40" s="68">
        <v>0</v>
      </c>
      <c r="E40" s="68">
        <v>0</v>
      </c>
      <c r="F40" s="68">
        <v>0</v>
      </c>
      <c r="G40" s="68">
        <f>D40*1.02</f>
        <v>0</v>
      </c>
      <c r="H40" s="8"/>
    </row>
    <row r="41" spans="1:8" ht="20.25" customHeight="1">
      <c r="A41" s="67">
        <v>4203</v>
      </c>
      <c r="B41" s="2" t="s">
        <v>44</v>
      </c>
      <c r="C41" s="68">
        <v>6195</v>
      </c>
      <c r="D41" s="68">
        <f>'[1]Budget'!$F$39</f>
        <v>6000</v>
      </c>
      <c r="E41" s="68">
        <v>3600</v>
      </c>
      <c r="F41" s="68">
        <v>6000</v>
      </c>
      <c r="G41" s="68">
        <f>D41*1.02</f>
        <v>6120</v>
      </c>
      <c r="H41" s="7"/>
    </row>
    <row r="42" spans="1:8" ht="19.5" customHeight="1">
      <c r="A42" s="67">
        <v>4215</v>
      </c>
      <c r="B42" s="67" t="s">
        <v>45</v>
      </c>
      <c r="C42" s="68">
        <v>22596</v>
      </c>
      <c r="D42" s="68">
        <v>10000</v>
      </c>
      <c r="E42" s="68">
        <v>20588</v>
      </c>
      <c r="F42" s="69">
        <v>43358</v>
      </c>
      <c r="G42" s="68">
        <v>0</v>
      </c>
      <c r="H42" s="87"/>
    </row>
    <row r="43" spans="1:8" ht="23.25" customHeight="1">
      <c r="A43" s="67">
        <v>4290</v>
      </c>
      <c r="B43" s="2" t="s">
        <v>46</v>
      </c>
      <c r="C43" s="68">
        <v>392</v>
      </c>
      <c r="D43" s="68">
        <f>'[1]Budget'!$F$42</f>
        <v>650</v>
      </c>
      <c r="E43" s="68">
        <v>643</v>
      </c>
      <c r="F43" s="68">
        <v>666</v>
      </c>
      <c r="G43" s="68">
        <v>660</v>
      </c>
      <c r="H43" s="11" t="s">
        <v>110</v>
      </c>
    </row>
    <row r="44" spans="1:8" ht="36" customHeight="1">
      <c r="A44" s="67">
        <v>4301</v>
      </c>
      <c r="B44" s="2" t="s">
        <v>47</v>
      </c>
      <c r="C44" s="68">
        <v>7784</v>
      </c>
      <c r="D44" s="68">
        <v>5000</v>
      </c>
      <c r="E44" s="68">
        <v>2946</v>
      </c>
      <c r="F44" s="68">
        <v>4250</v>
      </c>
      <c r="G44" s="68">
        <f>D44*1.02</f>
        <v>5100</v>
      </c>
      <c r="H44" s="10" t="s">
        <v>48</v>
      </c>
    </row>
    <row r="45" spans="1:8" ht="20.25" customHeight="1">
      <c r="A45" s="67">
        <v>4351</v>
      </c>
      <c r="B45" s="2" t="s">
        <v>115</v>
      </c>
      <c r="C45" s="68">
        <v>0</v>
      </c>
      <c r="D45" s="68">
        <v>0</v>
      </c>
      <c r="E45" s="68">
        <v>2423</v>
      </c>
      <c r="F45" s="69">
        <v>17000</v>
      </c>
      <c r="G45" s="68">
        <v>42500</v>
      </c>
      <c r="H45" s="7" t="s">
        <v>147</v>
      </c>
    </row>
    <row r="46" spans="1:8" s="62" customFormat="1" ht="24" customHeight="1">
      <c r="A46" s="67">
        <v>4352</v>
      </c>
      <c r="B46" s="2" t="s">
        <v>49</v>
      </c>
      <c r="C46" s="68">
        <v>250</v>
      </c>
      <c r="D46" s="68">
        <v>10000</v>
      </c>
      <c r="E46" s="68">
        <v>500</v>
      </c>
      <c r="F46" s="68">
        <v>500</v>
      </c>
      <c r="G46" s="68">
        <v>0</v>
      </c>
      <c r="H46" s="88"/>
    </row>
    <row r="47" spans="1:8" ht="28.5" customHeight="1">
      <c r="A47" s="67">
        <v>4386</v>
      </c>
      <c r="B47" s="2" t="s">
        <v>50</v>
      </c>
      <c r="C47" s="68">
        <v>5750</v>
      </c>
      <c r="D47" s="68">
        <v>6000</v>
      </c>
      <c r="E47" s="68">
        <v>9244</v>
      </c>
      <c r="F47" s="68">
        <v>11719</v>
      </c>
      <c r="G47" s="68">
        <v>11000</v>
      </c>
      <c r="H47" s="9" t="s">
        <v>75</v>
      </c>
    </row>
    <row r="48" spans="1:8" ht="24.75" customHeight="1">
      <c r="A48" s="67">
        <v>4390</v>
      </c>
      <c r="B48" s="2" t="s">
        <v>74</v>
      </c>
      <c r="C48" s="68">
        <v>392</v>
      </c>
      <c r="D48" s="68">
        <v>170</v>
      </c>
      <c r="E48" s="68">
        <v>392</v>
      </c>
      <c r="F48" s="68">
        <v>392</v>
      </c>
      <c r="G48" s="68">
        <v>175</v>
      </c>
      <c r="H48" s="7" t="s">
        <v>72</v>
      </c>
    </row>
    <row r="49" spans="1:8" ht="25.5" customHeight="1">
      <c r="A49" s="67">
        <v>4391</v>
      </c>
      <c r="B49" s="2" t="s">
        <v>51</v>
      </c>
      <c r="C49" s="68">
        <v>22</v>
      </c>
      <c r="D49" s="68">
        <f>'[1]Budget'!$F$46</f>
        <v>2000</v>
      </c>
      <c r="E49" s="68">
        <v>0</v>
      </c>
      <c r="F49" s="68">
        <v>2000</v>
      </c>
      <c r="G49" s="68">
        <v>2050</v>
      </c>
      <c r="H49" s="7" t="s">
        <v>52</v>
      </c>
    </row>
    <row r="50" spans="1:8" ht="30">
      <c r="A50" s="67">
        <v>4395</v>
      </c>
      <c r="B50" s="2" t="s">
        <v>53</v>
      </c>
      <c r="C50" s="68">
        <v>1200</v>
      </c>
      <c r="D50" s="68">
        <f>'[1]Budget'!$F$47</f>
        <v>5000</v>
      </c>
      <c r="E50" s="68">
        <v>1167</v>
      </c>
      <c r="F50" s="68">
        <v>5000</v>
      </c>
      <c r="G50" s="68">
        <f>D50*1.02</f>
        <v>5100</v>
      </c>
      <c r="H50" s="10" t="s">
        <v>54</v>
      </c>
    </row>
    <row r="51" spans="1:8" ht="26.25" customHeight="1">
      <c r="A51" s="67"/>
      <c r="B51" s="2" t="s">
        <v>145</v>
      </c>
      <c r="C51" s="68">
        <v>0</v>
      </c>
      <c r="D51" s="68">
        <v>0</v>
      </c>
      <c r="E51" s="68">
        <v>0</v>
      </c>
      <c r="F51" s="68">
        <v>0</v>
      </c>
      <c r="G51" s="68">
        <v>64000</v>
      </c>
      <c r="H51" s="10" t="s">
        <v>146</v>
      </c>
    </row>
    <row r="52" spans="1:8" ht="33" customHeight="1">
      <c r="A52" s="67"/>
      <c r="B52" s="93" t="s">
        <v>140</v>
      </c>
      <c r="C52" s="68">
        <v>0</v>
      </c>
      <c r="D52" s="68">
        <v>0</v>
      </c>
      <c r="E52" s="68">
        <v>0</v>
      </c>
      <c r="F52" s="68">
        <v>0</v>
      </c>
      <c r="G52" s="68">
        <v>20000</v>
      </c>
      <c r="H52" s="10"/>
    </row>
    <row r="53" spans="1:8" ht="33" customHeight="1">
      <c r="A53" s="67"/>
      <c r="B53" s="93" t="s">
        <v>141</v>
      </c>
      <c r="C53" s="68">
        <v>0</v>
      </c>
      <c r="D53" s="68">
        <v>0</v>
      </c>
      <c r="E53" s="68">
        <v>0</v>
      </c>
      <c r="F53" s="68">
        <v>0</v>
      </c>
      <c r="G53" s="68">
        <v>20000</v>
      </c>
      <c r="H53" s="10"/>
    </row>
    <row r="54" spans="1:8" ht="28.5" customHeight="1">
      <c r="A54" s="67"/>
      <c r="B54" s="93" t="s">
        <v>142</v>
      </c>
      <c r="C54" s="68">
        <v>0</v>
      </c>
      <c r="D54" s="68">
        <v>0</v>
      </c>
      <c r="E54" s="68">
        <v>0</v>
      </c>
      <c r="F54" s="68">
        <v>0</v>
      </c>
      <c r="G54" s="68">
        <v>12000</v>
      </c>
      <c r="H54" s="10"/>
    </row>
    <row r="55" spans="1:8" ht="28.5" customHeight="1">
      <c r="A55" s="67"/>
      <c r="B55" s="93" t="s">
        <v>143</v>
      </c>
      <c r="C55" s="68">
        <v>0</v>
      </c>
      <c r="D55" s="68">
        <v>0</v>
      </c>
      <c r="E55" s="68">
        <v>0</v>
      </c>
      <c r="F55" s="68">
        <v>0</v>
      </c>
      <c r="G55" s="68">
        <v>26000</v>
      </c>
      <c r="H55" s="10"/>
    </row>
    <row r="56" spans="1:7" ht="20.25" customHeight="1" thickBot="1">
      <c r="A56" s="70"/>
      <c r="C56" s="71">
        <f>SUM(C7:C55)</f>
        <v>172824</v>
      </c>
      <c r="D56" s="71">
        <f>SUM(D7:D55)</f>
        <v>190392</v>
      </c>
      <c r="E56" s="71">
        <f>SUM(E7:E55)</f>
        <v>145130</v>
      </c>
      <c r="F56" s="71">
        <f>SUM(F7:F55)</f>
        <v>231362</v>
      </c>
      <c r="G56" s="71">
        <f>SUM(G7:G55)</f>
        <v>350980.88</v>
      </c>
    </row>
    <row r="57" ht="20.25" customHeight="1" thickTop="1"/>
    <row r="58" ht="24.75" customHeight="1">
      <c r="A58" s="72" t="s">
        <v>55</v>
      </c>
    </row>
    <row r="59" spans="1:8" ht="20.25" customHeight="1">
      <c r="A59" s="67">
        <v>1076</v>
      </c>
      <c r="B59" s="2" t="s">
        <v>56</v>
      </c>
      <c r="C59" s="73">
        <v>170744</v>
      </c>
      <c r="D59" s="73">
        <v>172288</v>
      </c>
      <c r="E59" s="73">
        <v>172288</v>
      </c>
      <c r="F59" s="73">
        <v>172288</v>
      </c>
      <c r="G59" s="73">
        <v>302465.59</v>
      </c>
      <c r="H59" s="10" t="s">
        <v>157</v>
      </c>
    </row>
    <row r="60" spans="1:8" ht="20.25" customHeight="1">
      <c r="A60" s="67">
        <v>1077</v>
      </c>
      <c r="B60" s="2" t="s">
        <v>57</v>
      </c>
      <c r="C60" s="73">
        <v>14492</v>
      </c>
      <c r="D60" s="68">
        <f>'[2]CTSG'!$F$83</f>
        <v>9661.5</v>
      </c>
      <c r="E60" s="73">
        <v>9662</v>
      </c>
      <c r="F60" s="73">
        <v>9662</v>
      </c>
      <c r="G60" s="73">
        <v>4830.75</v>
      </c>
      <c r="H60" s="38" t="s">
        <v>114</v>
      </c>
    </row>
    <row r="61" spans="1:8" ht="20.25" customHeight="1">
      <c r="A61" s="67">
        <v>1090</v>
      </c>
      <c r="B61" s="2" t="s">
        <v>58</v>
      </c>
      <c r="C61" s="73">
        <v>1821</v>
      </c>
      <c r="D61" s="68">
        <f>'[1]Budget'!$F$53</f>
        <v>400</v>
      </c>
      <c r="E61" s="73">
        <v>337</v>
      </c>
      <c r="F61" s="73">
        <v>750</v>
      </c>
      <c r="G61" s="68">
        <v>800</v>
      </c>
      <c r="H61" s="8"/>
    </row>
    <row r="62" spans="1:8" ht="20.25" customHeight="1">
      <c r="A62" s="67">
        <v>1091</v>
      </c>
      <c r="B62" s="2" t="s">
        <v>67</v>
      </c>
      <c r="C62" s="73">
        <v>25</v>
      </c>
      <c r="D62" s="68">
        <v>0</v>
      </c>
      <c r="E62" s="73">
        <v>44</v>
      </c>
      <c r="F62" s="73">
        <v>70</v>
      </c>
      <c r="G62" s="68">
        <v>0</v>
      </c>
      <c r="H62" s="8"/>
    </row>
    <row r="63" spans="1:8" ht="20.25" customHeight="1">
      <c r="A63" s="67">
        <v>1104</v>
      </c>
      <c r="B63" s="2" t="s">
        <v>109</v>
      </c>
      <c r="C63" s="73">
        <v>600</v>
      </c>
      <c r="D63" s="68">
        <v>0</v>
      </c>
      <c r="E63" s="73">
        <v>1000</v>
      </c>
      <c r="F63" s="73">
        <v>1000</v>
      </c>
      <c r="G63" s="68">
        <v>0</v>
      </c>
      <c r="H63" s="8"/>
    </row>
    <row r="64" spans="1:8" ht="20.25" customHeight="1">
      <c r="A64" s="67">
        <v>1301</v>
      </c>
      <c r="B64" s="2" t="s">
        <v>59</v>
      </c>
      <c r="C64" s="73">
        <v>15437</v>
      </c>
      <c r="D64" s="68">
        <v>14790</v>
      </c>
      <c r="E64" s="73">
        <v>15395</v>
      </c>
      <c r="F64" s="73">
        <v>15395</v>
      </c>
      <c r="G64" s="68">
        <v>14790</v>
      </c>
      <c r="H64" s="7" t="s">
        <v>113</v>
      </c>
    </row>
    <row r="65" spans="1:8" ht="20.25" customHeight="1">
      <c r="A65" s="67">
        <v>1405</v>
      </c>
      <c r="B65" s="2" t="s">
        <v>60</v>
      </c>
      <c r="C65" s="73">
        <v>50</v>
      </c>
      <c r="D65" s="68">
        <f>'[1]Budget'!$F$57</f>
        <v>0</v>
      </c>
      <c r="E65" s="73">
        <v>75</v>
      </c>
      <c r="F65" s="73">
        <v>75</v>
      </c>
      <c r="G65" s="68">
        <f>'[1]Budget'!$F$57</f>
        <v>0</v>
      </c>
      <c r="H65" s="2"/>
    </row>
    <row r="66" spans="1:7" ht="20.25" customHeight="1" thickBot="1">
      <c r="A66" s="3"/>
      <c r="B66" s="3"/>
      <c r="C66" s="71">
        <f>SUM(C59:C65)</f>
        <v>203169</v>
      </c>
      <c r="D66" s="71">
        <f>SUM(D59:D65)</f>
        <v>197139.5</v>
      </c>
      <c r="E66" s="71">
        <f>SUM(E59:E65)</f>
        <v>198801</v>
      </c>
      <c r="F66" s="71">
        <f>SUM(F59:F65)</f>
        <v>199240</v>
      </c>
      <c r="G66" s="71">
        <f>SUM(G59:G65)</f>
        <v>322886.34</v>
      </c>
    </row>
    <row r="67" spans="3:7" ht="20.25" customHeight="1" thickTop="1">
      <c r="C67" s="74"/>
      <c r="D67" s="75"/>
      <c r="E67" s="75"/>
      <c r="F67" s="75"/>
      <c r="G67" s="75"/>
    </row>
    <row r="68" spans="4:12" s="4" customFormat="1" ht="20.25" customHeight="1">
      <c r="D68" s="76"/>
      <c r="E68" s="77"/>
      <c r="F68" s="77"/>
      <c r="H68" s="76"/>
      <c r="J68" s="78"/>
      <c r="K68" s="78"/>
      <c r="L68" s="78"/>
    </row>
    <row r="69" spans="1:12" s="4" customFormat="1" ht="20.25" customHeight="1">
      <c r="A69" s="79" t="s">
        <v>61</v>
      </c>
      <c r="C69" s="80">
        <f>SUM(C66-C56)</f>
        <v>30345</v>
      </c>
      <c r="D69" s="80">
        <f>D66-D56</f>
        <v>6747.5</v>
      </c>
      <c r="E69" s="81"/>
      <c r="F69" s="80">
        <f>F66-F56</f>
        <v>-32122</v>
      </c>
      <c r="G69" s="80">
        <f>G66-G56</f>
        <v>-28094.53999999998</v>
      </c>
      <c r="J69" s="82"/>
      <c r="K69" s="78"/>
      <c r="L69" s="78"/>
    </row>
    <row r="70" spans="1:12" s="4" customFormat="1" ht="20.25" customHeight="1">
      <c r="A70" s="79"/>
      <c r="C70" s="81"/>
      <c r="E70" s="81"/>
      <c r="F70" s="76"/>
      <c r="J70" s="82"/>
      <c r="K70" s="78"/>
      <c r="L70" s="78"/>
    </row>
    <row r="71" spans="1:12" s="4" customFormat="1" ht="20.25" customHeight="1">
      <c r="A71" s="79"/>
      <c r="C71" s="81"/>
      <c r="E71" s="81"/>
      <c r="F71" s="76"/>
      <c r="G71" s="83"/>
      <c r="J71" s="82"/>
      <c r="K71" s="78"/>
      <c r="L71" s="78"/>
    </row>
    <row r="72" spans="1:12" s="4" customFormat="1" ht="20.25" customHeight="1">
      <c r="A72" s="79"/>
      <c r="C72" s="81"/>
      <c r="D72" s="81"/>
      <c r="E72" s="81"/>
      <c r="F72" s="76"/>
      <c r="G72" s="83"/>
      <c r="H72" s="84"/>
      <c r="J72" s="82"/>
      <c r="K72" s="78"/>
      <c r="L72" s="78"/>
    </row>
    <row r="73" spans="1:8" s="4" customFormat="1" ht="20.25" customHeight="1">
      <c r="A73" s="79"/>
      <c r="D73" s="77"/>
      <c r="E73" s="77"/>
      <c r="F73" s="81"/>
      <c r="G73" s="76"/>
      <c r="H73" s="76"/>
    </row>
    <row r="74" spans="1:8" s="4" customFormat="1" ht="20.25" customHeight="1">
      <c r="A74" s="4" t="s">
        <v>108</v>
      </c>
      <c r="C74" s="80">
        <v>195844</v>
      </c>
      <c r="D74" s="77"/>
      <c r="E74" s="77"/>
      <c r="F74" s="77"/>
      <c r="G74" s="76"/>
      <c r="H74" s="76"/>
    </row>
    <row r="75" spans="4:8" s="4" customFormat="1" ht="20.25" customHeight="1">
      <c r="D75" s="77"/>
      <c r="E75" s="77"/>
      <c r="F75" s="77"/>
      <c r="G75" s="76"/>
      <c r="H75" s="76"/>
    </row>
    <row r="76" spans="1:8" s="4" customFormat="1" ht="20.25" customHeight="1">
      <c r="A76" s="4" t="s">
        <v>62</v>
      </c>
      <c r="D76" s="80">
        <f>Reserves!C7</f>
        <v>12000</v>
      </c>
      <c r="E76" s="77"/>
      <c r="F76" s="77"/>
      <c r="G76" s="76"/>
      <c r="H76" s="76"/>
    </row>
    <row r="77" spans="1:8" s="4" customFormat="1" ht="20.25" customHeight="1">
      <c r="A77" s="4" t="s">
        <v>107</v>
      </c>
      <c r="D77" s="80">
        <f>Reserves!C15</f>
        <v>33000</v>
      </c>
      <c r="E77" s="77"/>
      <c r="F77" s="77"/>
      <c r="G77" s="76"/>
      <c r="H77" s="76"/>
    </row>
    <row r="78" spans="4:8" s="4" customFormat="1" ht="20.25" customHeight="1">
      <c r="D78" s="92"/>
      <c r="E78" s="77"/>
      <c r="F78" s="77"/>
      <c r="G78" s="76"/>
      <c r="H78" s="76"/>
    </row>
    <row r="79" spans="1:8" s="4" customFormat="1" ht="20.25" customHeight="1">
      <c r="A79" s="79" t="s">
        <v>154</v>
      </c>
      <c r="D79" s="77"/>
      <c r="E79" s="77"/>
      <c r="F79" s="77"/>
      <c r="G79" s="76"/>
      <c r="H79" s="76"/>
    </row>
    <row r="80" spans="1:8" s="4" customFormat="1" ht="20.25" customHeight="1">
      <c r="A80" s="85" t="s">
        <v>153</v>
      </c>
      <c r="D80" s="86"/>
      <c r="E80" s="86"/>
      <c r="F80" s="80">
        <f>C74+F69-D76-D77</f>
        <v>118722</v>
      </c>
      <c r="G80" s="76"/>
      <c r="H80" s="76"/>
    </row>
    <row r="81" spans="1:8" s="4" customFormat="1" ht="20.25" customHeight="1">
      <c r="A81" s="85" t="s">
        <v>152</v>
      </c>
      <c r="D81" s="86"/>
      <c r="E81" s="86"/>
      <c r="F81" s="86"/>
      <c r="G81" s="80">
        <f>F80+G69</f>
        <v>90627.46000000002</v>
      </c>
      <c r="H81" s="76"/>
    </row>
    <row r="82" spans="1:8" s="4" customFormat="1" ht="20.25" customHeight="1">
      <c r="A82" s="85"/>
      <c r="D82" s="86"/>
      <c r="E82" s="86"/>
      <c r="F82" s="86"/>
      <c r="G82" s="86"/>
      <c r="H82" s="76"/>
    </row>
    <row r="83" spans="2:8" s="4" customFormat="1" ht="20.25" customHeight="1">
      <c r="B83" s="5"/>
      <c r="C83" s="5"/>
      <c r="D83" s="77"/>
      <c r="E83" s="77"/>
      <c r="F83" s="77"/>
      <c r="G83" s="76"/>
      <c r="H83" s="76"/>
    </row>
    <row r="85" s="3" customFormat="1" ht="20.25" customHeight="1">
      <c r="C85" s="89"/>
    </row>
    <row r="86" s="3" customFormat="1" ht="20.25" customHeight="1">
      <c r="D86" s="61"/>
    </row>
    <row r="87" s="3" customFormat="1" ht="20.25" customHeight="1">
      <c r="D87" s="61"/>
    </row>
    <row r="88" s="3" customFormat="1" ht="20.25" customHeight="1">
      <c r="D88" s="61"/>
    </row>
    <row r="89" s="3" customFormat="1" ht="20.25" customHeight="1">
      <c r="D89" s="61"/>
    </row>
    <row r="90" s="3" customFormat="1" ht="20.25" customHeight="1">
      <c r="D90" s="61"/>
    </row>
    <row r="91" s="3" customFormat="1" ht="20.25" customHeight="1">
      <c r="D91" s="61"/>
    </row>
    <row r="92" spans="2:4" s="3" customFormat="1" ht="20.25" customHeight="1">
      <c r="B92" s="59"/>
      <c r="C92" s="60"/>
      <c r="D92" s="61"/>
    </row>
    <row r="93" spans="2:4" s="3" customFormat="1" ht="20.25" customHeight="1">
      <c r="B93" s="90"/>
      <c r="C93" s="60"/>
      <c r="D93" s="61"/>
    </row>
  </sheetData>
  <sheetProtection/>
  <mergeCells count="8">
    <mergeCell ref="H3:H5"/>
    <mergeCell ref="D3:F3"/>
    <mergeCell ref="A6:G6"/>
    <mergeCell ref="C4:C5"/>
    <mergeCell ref="D4:D5"/>
    <mergeCell ref="E4:E5"/>
    <mergeCell ref="F4:F5"/>
    <mergeCell ref="G4:G5"/>
  </mergeCells>
  <printOptions/>
  <pageMargins left="0.7480314960629921" right="0.7480314960629921" top="0.3937007874015748" bottom="0.5511811023622047" header="0.1968503937007874" footer="0.2755905511811024"/>
  <pageSetup fitToHeight="2" fitToWidth="1" horizontalDpi="300" verticalDpi="300" orientation="landscape" paperSize="9" scale="57" r:id="rId3"/>
  <headerFooter alignWithMargins="0">
    <oddFooter>&amp;C&amp;Z&amp;F</oddFooter>
  </headerFooter>
  <rowBreaks count="1" manualBreakCount="1">
    <brk id="39" max="7" man="1"/>
  </rowBreaks>
  <ignoredErrors>
    <ignoredError sqref="G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3" sqref="A3:C3"/>
    </sheetView>
  </sheetViews>
  <sheetFormatPr defaultColWidth="9.140625" defaultRowHeight="12"/>
  <cols>
    <col min="1" max="1" width="68.00390625" style="50" bestFit="1" customWidth="1"/>
    <col min="2" max="2" width="19.421875" style="50" customWidth="1"/>
    <col min="3" max="3" width="16.7109375" style="53" bestFit="1" customWidth="1"/>
    <col min="4" max="4" width="18.7109375" style="50" customWidth="1"/>
    <col min="5" max="5" width="10.421875" style="50" bestFit="1" customWidth="1"/>
    <col min="6" max="16384" width="9.140625" style="50" customWidth="1"/>
  </cols>
  <sheetData>
    <row r="1" spans="1:3" s="47" customFormat="1" ht="15">
      <c r="A1" s="46" t="s">
        <v>131</v>
      </c>
      <c r="C1" s="48"/>
    </row>
    <row r="2" spans="1:3" s="47" customFormat="1" ht="15">
      <c r="A2" s="46"/>
      <c r="C2" s="48"/>
    </row>
    <row r="3" spans="1:6" s="47" customFormat="1" ht="21.75" customHeight="1">
      <c r="A3" s="107" t="s">
        <v>103</v>
      </c>
      <c r="B3" s="107"/>
      <c r="C3" s="107"/>
      <c r="D3" s="58"/>
      <c r="E3" s="48"/>
      <c r="F3" s="48"/>
    </row>
    <row r="4" spans="1:6" s="47" customFormat="1" ht="15">
      <c r="A4" s="111" t="s">
        <v>133</v>
      </c>
      <c r="B4" s="111"/>
      <c r="C4" s="56" t="s">
        <v>155</v>
      </c>
      <c r="D4" s="58"/>
      <c r="E4" s="48"/>
      <c r="F4" s="48"/>
    </row>
    <row r="5" spans="1:6" s="47" customFormat="1" ht="21" customHeight="1">
      <c r="A5" s="110" t="s">
        <v>63</v>
      </c>
      <c r="B5" s="110"/>
      <c r="C5" s="49">
        <v>10000</v>
      </c>
      <c r="D5" s="91"/>
      <c r="E5" s="48"/>
      <c r="F5" s="48"/>
    </row>
    <row r="6" spans="1:6" s="47" customFormat="1" ht="21" customHeight="1">
      <c r="A6" s="110" t="s">
        <v>65</v>
      </c>
      <c r="B6" s="110"/>
      <c r="C6" s="49">
        <v>2000</v>
      </c>
      <c r="D6" s="91"/>
      <c r="E6" s="48"/>
      <c r="F6" s="48"/>
    </row>
    <row r="7" spans="3:6" s="47" customFormat="1" ht="15.75" thickBot="1">
      <c r="C7" s="99">
        <f>SUM(C5:C6)</f>
        <v>12000</v>
      </c>
      <c r="D7" s="57"/>
      <c r="E7" s="48"/>
      <c r="F7" s="48"/>
    </row>
    <row r="8" spans="3:6" s="47" customFormat="1" ht="15.75" thickTop="1">
      <c r="C8" s="54"/>
      <c r="D8" s="57"/>
      <c r="E8" s="48"/>
      <c r="F8" s="48"/>
    </row>
    <row r="9" spans="1:6" s="47" customFormat="1" ht="15">
      <c r="A9" s="107" t="s">
        <v>132</v>
      </c>
      <c r="B9" s="107"/>
      <c r="C9" s="107"/>
      <c r="D9" s="109"/>
      <c r="E9" s="48"/>
      <c r="F9" s="48"/>
    </row>
    <row r="10" spans="1:5" ht="15">
      <c r="A10" s="97" t="s">
        <v>133</v>
      </c>
      <c r="B10" s="55" t="s">
        <v>138</v>
      </c>
      <c r="C10" s="56" t="s">
        <v>155</v>
      </c>
      <c r="D10" s="109"/>
      <c r="E10" s="44"/>
    </row>
    <row r="11" spans="1:5" ht="30">
      <c r="A11" s="42" t="s">
        <v>137</v>
      </c>
      <c r="B11" s="42" t="s">
        <v>134</v>
      </c>
      <c r="C11" s="51">
        <v>10000</v>
      </c>
      <c r="D11" s="94"/>
      <c r="E11" s="45"/>
    </row>
    <row r="12" spans="1:5" ht="24" customHeight="1">
      <c r="A12" s="43" t="s">
        <v>136</v>
      </c>
      <c r="B12" s="42" t="s">
        <v>135</v>
      </c>
      <c r="C12" s="51">
        <v>3000</v>
      </c>
      <c r="D12" s="94"/>
      <c r="E12" s="45"/>
    </row>
    <row r="13" spans="1:5" ht="22.5" customHeight="1">
      <c r="A13" s="43" t="s">
        <v>148</v>
      </c>
      <c r="B13" s="42" t="s">
        <v>149</v>
      </c>
      <c r="C13" s="51">
        <v>10000</v>
      </c>
      <c r="D13" s="94"/>
      <c r="E13" s="45"/>
    </row>
    <row r="14" spans="1:5" ht="22.5" customHeight="1">
      <c r="A14" s="43" t="s">
        <v>150</v>
      </c>
      <c r="B14" s="42" t="s">
        <v>151</v>
      </c>
      <c r="C14" s="51">
        <v>10000</v>
      </c>
      <c r="D14" s="94"/>
      <c r="E14" s="45"/>
    </row>
    <row r="15" spans="1:5" ht="15.75" thickBot="1">
      <c r="A15" s="41"/>
      <c r="B15" s="41"/>
      <c r="C15" s="98">
        <f>SUM(C11:C14)</f>
        <v>33000</v>
      </c>
      <c r="D15" s="94"/>
      <c r="E15" s="41"/>
    </row>
    <row r="16" spans="1:4" ht="15.75" thickTop="1">
      <c r="A16" s="48"/>
      <c r="B16" s="48"/>
      <c r="C16" s="48"/>
      <c r="D16" s="53"/>
    </row>
    <row r="17" spans="1:4" ht="25.5" customHeight="1">
      <c r="A17" s="48"/>
      <c r="B17" s="48"/>
      <c r="C17" s="56" t="s">
        <v>155</v>
      </c>
      <c r="D17" s="58"/>
    </row>
    <row r="18" spans="1:4" ht="15.75" thickBot="1">
      <c r="A18" s="108" t="s">
        <v>156</v>
      </c>
      <c r="B18" s="108"/>
      <c r="C18" s="52">
        <v>60000</v>
      </c>
      <c r="D18" s="94"/>
    </row>
    <row r="19" ht="15.75" thickTop="1">
      <c r="D19" s="53"/>
    </row>
    <row r="20" spans="1:4" ht="15">
      <c r="A20" s="95"/>
      <c r="B20" s="53"/>
      <c r="C20" s="96"/>
      <c r="D20" s="94"/>
    </row>
  </sheetData>
  <sheetProtection/>
  <mergeCells count="7">
    <mergeCell ref="A3:C3"/>
    <mergeCell ref="A18:B18"/>
    <mergeCell ref="D9:D10"/>
    <mergeCell ref="A9:C9"/>
    <mergeCell ref="A5:B5"/>
    <mergeCell ref="A6:B6"/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3">
      <selection activeCell="P43" sqref="P43"/>
    </sheetView>
  </sheetViews>
  <sheetFormatPr defaultColWidth="9.140625" defaultRowHeight="12"/>
  <cols>
    <col min="1" max="1" width="2.7109375" style="12" customWidth="1"/>
    <col min="2" max="2" width="13.7109375" style="12" customWidth="1"/>
    <col min="3" max="3" width="6.7109375" style="12" customWidth="1"/>
    <col min="4" max="4" width="17.7109375" style="12" customWidth="1"/>
    <col min="5" max="6" width="13.7109375" style="12" customWidth="1"/>
    <col min="7" max="7" width="3.7109375" style="12" customWidth="1"/>
    <col min="8" max="9" width="12.7109375" style="12" customWidth="1"/>
    <col min="10" max="10" width="6.7109375" style="12" customWidth="1"/>
    <col min="11" max="11" width="2.7109375" style="12" customWidth="1"/>
    <col min="12" max="16384" width="9.140625" style="12" customWidth="1"/>
  </cols>
  <sheetData>
    <row r="1" spans="1:10" ht="18" customHeight="1">
      <c r="A1" s="122" t="s">
        <v>87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>
      <c r="A2" s="119" t="s">
        <v>116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8" customHeight="1">
      <c r="A3" s="119" t="s">
        <v>88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8" customHeight="1">
      <c r="A4" s="123" t="s">
        <v>117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2:10" ht="6.75" customHeight="1">
      <c r="B5" s="13"/>
      <c r="C5" s="13"/>
      <c r="D5" s="13"/>
      <c r="E5" s="13"/>
      <c r="F5" s="13"/>
      <c r="G5" s="13"/>
      <c r="H5" s="13"/>
      <c r="I5" s="13"/>
      <c r="J5" s="13"/>
    </row>
    <row r="6" spans="2:10" ht="18" customHeight="1">
      <c r="B6" s="124" t="s">
        <v>89</v>
      </c>
      <c r="C6" s="124"/>
      <c r="D6" s="124"/>
      <c r="E6" s="125" t="s">
        <v>90</v>
      </c>
      <c r="F6" s="126"/>
      <c r="G6" s="126"/>
      <c r="H6" s="126"/>
      <c r="I6" s="126"/>
      <c r="J6" s="127"/>
    </row>
    <row r="7" spans="2:10" ht="14.25">
      <c r="B7" s="120" t="s">
        <v>118</v>
      </c>
      <c r="C7" s="120"/>
      <c r="D7" s="120"/>
      <c r="E7" s="120"/>
      <c r="F7" s="14"/>
      <c r="G7" s="15"/>
      <c r="H7" s="15"/>
      <c r="I7" s="15"/>
      <c r="J7" s="15"/>
    </row>
    <row r="8" spans="2:10" ht="18" customHeight="1">
      <c r="B8" s="114" t="s">
        <v>119</v>
      </c>
      <c r="C8" s="114"/>
      <c r="D8" s="114"/>
      <c r="E8" s="114"/>
      <c r="F8" s="112"/>
      <c r="G8" s="112"/>
      <c r="H8" s="112"/>
      <c r="I8" s="112"/>
      <c r="J8" s="112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18" customHeight="1">
      <c r="B10" s="114" t="s">
        <v>91</v>
      </c>
      <c r="C10" s="114"/>
      <c r="D10" s="114"/>
      <c r="E10" s="121" t="s">
        <v>92</v>
      </c>
      <c r="F10" s="121"/>
      <c r="G10" s="121"/>
      <c r="H10" s="121"/>
      <c r="I10" s="121"/>
      <c r="J10" s="121"/>
    </row>
    <row r="11" spans="2:10" ht="6.75" customHeight="1">
      <c r="B11" s="15"/>
      <c r="C11" s="15"/>
      <c r="D11" s="15"/>
      <c r="E11" s="16"/>
      <c r="F11" s="16"/>
      <c r="G11" s="16"/>
      <c r="H11" s="16"/>
      <c r="I11" s="16"/>
      <c r="J11" s="16"/>
    </row>
    <row r="12" spans="2:10" ht="18" customHeight="1">
      <c r="B12" s="15" t="s">
        <v>93</v>
      </c>
      <c r="C12" s="112" t="s">
        <v>120</v>
      </c>
      <c r="D12" s="112"/>
      <c r="E12" s="112"/>
      <c r="F12" s="112"/>
      <c r="G12" s="112"/>
      <c r="H12" s="112"/>
      <c r="I12" s="112"/>
      <c r="J12" s="112"/>
    </row>
    <row r="13" spans="2:10" ht="6.75" customHeight="1">
      <c r="B13" s="15"/>
      <c r="C13" s="15"/>
      <c r="D13" s="17"/>
      <c r="E13" s="17"/>
      <c r="F13" s="17"/>
      <c r="G13" s="17"/>
      <c r="H13" s="17"/>
      <c r="I13" s="17"/>
      <c r="J13" s="17"/>
    </row>
    <row r="14" spans="2:10" ht="18" customHeight="1">
      <c r="B14" s="16"/>
      <c r="C14" s="112"/>
      <c r="D14" s="112"/>
      <c r="E14" s="112"/>
      <c r="F14" s="112"/>
      <c r="G14" s="112"/>
      <c r="H14" s="112"/>
      <c r="I14" s="112"/>
      <c r="J14" s="112"/>
    </row>
    <row r="15" spans="2:10" ht="6.75" customHeight="1">
      <c r="B15" s="15"/>
      <c r="C15" s="15"/>
      <c r="D15" s="16"/>
      <c r="E15" s="16"/>
      <c r="F15" s="16"/>
      <c r="G15" s="16"/>
      <c r="H15" s="16"/>
      <c r="I15" s="16"/>
      <c r="J15" s="16"/>
    </row>
    <row r="16" spans="2:10" ht="18" customHeight="1">
      <c r="B16" s="15" t="s">
        <v>94</v>
      </c>
      <c r="C16" s="112" t="s">
        <v>95</v>
      </c>
      <c r="D16" s="112"/>
      <c r="E16" s="18" t="s">
        <v>96</v>
      </c>
      <c r="F16" s="19" t="s">
        <v>97</v>
      </c>
      <c r="G16" s="20"/>
      <c r="H16" s="20"/>
      <c r="I16" s="20"/>
      <c r="J16" s="20"/>
    </row>
    <row r="17" spans="2:10" ht="14.25"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30" customHeight="1">
      <c r="A18" s="118" t="s">
        <v>121</v>
      </c>
      <c r="B18" s="118"/>
      <c r="C18" s="118"/>
      <c r="D18" s="118"/>
      <c r="E18" s="118"/>
      <c r="F18" s="118"/>
      <c r="G18" s="118"/>
      <c r="H18" s="118"/>
      <c r="I18" s="118"/>
      <c r="J18" s="118"/>
    </row>
    <row r="19" spans="2:10" ht="6.75" customHeight="1">
      <c r="B19" s="15"/>
      <c r="C19" s="15"/>
      <c r="D19" s="15"/>
      <c r="E19" s="15"/>
      <c r="F19" s="15"/>
      <c r="G19" s="15"/>
      <c r="H19" s="15"/>
      <c r="I19" s="15"/>
      <c r="J19" s="15"/>
    </row>
    <row r="20" spans="2:9" ht="14.25">
      <c r="B20" s="21"/>
      <c r="C20" s="21"/>
      <c r="D20" s="21"/>
      <c r="E20" s="119" t="s">
        <v>98</v>
      </c>
      <c r="F20" s="119"/>
      <c r="H20" s="119" t="s">
        <v>122</v>
      </c>
      <c r="I20" s="119"/>
    </row>
    <row r="21" spans="2:9" ht="14.25">
      <c r="B21" s="15"/>
      <c r="C21" s="15"/>
      <c r="D21" s="15"/>
      <c r="E21" s="22" t="s">
        <v>99</v>
      </c>
      <c r="F21" s="22" t="s">
        <v>100</v>
      </c>
      <c r="H21" s="22" t="s">
        <v>99</v>
      </c>
      <c r="I21" s="22" t="s">
        <v>100</v>
      </c>
    </row>
    <row r="22" spans="2:9" ht="15.75" customHeight="1">
      <c r="B22" s="116" t="s">
        <v>76</v>
      </c>
      <c r="C22" s="116"/>
      <c r="D22" s="117"/>
      <c r="E22" s="25">
        <f>_xlfn.IFERROR(VLOOKUP($E$6,'[3]15-16 Information'!$C$6:$AC$8,2,FALSE),0)</f>
        <v>86270</v>
      </c>
      <c r="F22" s="25">
        <f>_xlfn.IFERROR(VLOOKUP($E$6,'[3]15-16 Information'!$C$6:$AC$8,12,FALSE),0)</f>
        <v>400</v>
      </c>
      <c r="H22" s="26">
        <f>Budget!G7+Budget!G8+Budget!G9+Budget!G10+Budget!G11+Budget!G12+Budget!G13</f>
        <v>90061.18</v>
      </c>
      <c r="I22" s="26">
        <f>Budget!G61</f>
        <v>800</v>
      </c>
    </row>
    <row r="23" spans="2:9" ht="15.75" customHeight="1">
      <c r="B23" s="116" t="s">
        <v>77</v>
      </c>
      <c r="C23" s="116"/>
      <c r="D23" s="117"/>
      <c r="E23" s="25">
        <f>_xlfn.IFERROR(VLOOKUP($E$6,'[3]15-16 Information'!$C$6:$AC$8,3,FALSE),0)</f>
        <v>20000</v>
      </c>
      <c r="F23" s="25">
        <f>_xlfn.IFERROR(VLOOKUP($E$6,'[3]15-16 Information'!$C$6:$AC$8,13,FALSE),0)</f>
        <v>0</v>
      </c>
      <c r="H23" s="26">
        <f>Budget!G45+Budget!G52+Budget!G53+Budget!G55</f>
        <v>108500</v>
      </c>
      <c r="I23" s="26"/>
    </row>
    <row r="24" spans="2:9" ht="15.75" customHeight="1">
      <c r="B24" s="116" t="s">
        <v>47</v>
      </c>
      <c r="C24" s="116"/>
      <c r="D24" s="117"/>
      <c r="E24" s="25">
        <f>_xlfn.IFERROR(VLOOKUP($E$6,'[3]15-16 Information'!$C$6:$AC$8,4,FALSE),0)</f>
        <v>5000</v>
      </c>
      <c r="F24" s="25">
        <f>_xlfn.IFERROR(VLOOKUP($E$6,'[3]15-16 Information'!$C$6:$AC$8,14,FALSE),0)</f>
        <v>14790</v>
      </c>
      <c r="H24" s="26">
        <f>Budget!G44</f>
        <v>5100</v>
      </c>
      <c r="I24" s="26">
        <f>Budget!G64</f>
        <v>14790</v>
      </c>
    </row>
    <row r="25" spans="2:9" ht="15.75" customHeight="1">
      <c r="B25" s="116" t="s">
        <v>78</v>
      </c>
      <c r="C25" s="116"/>
      <c r="D25" s="117"/>
      <c r="E25" s="25">
        <f>_xlfn.IFERROR(VLOOKUP($E$6,'[3]15-16 Information'!$C$6:$AC$8,5,FALSE),0)</f>
        <v>0</v>
      </c>
      <c r="F25" s="25">
        <f>_xlfn.IFERROR(VLOOKUP($E$6,'[3]15-16 Information'!$C$6:$AC$8,15,FALSE),0)</f>
        <v>0</v>
      </c>
      <c r="H25" s="26"/>
      <c r="I25" s="26"/>
    </row>
    <row r="26" spans="2:9" ht="15.75" customHeight="1">
      <c r="B26" s="23" t="s">
        <v>79</v>
      </c>
      <c r="C26" s="23"/>
      <c r="D26" s="24"/>
      <c r="E26" s="25">
        <f>_xlfn.IFERROR(VLOOKUP($E$6,'[3]15-16 Information'!$C$6:$AC$8,6,FALSE),0)</f>
        <v>59302</v>
      </c>
      <c r="F26" s="25">
        <f>_xlfn.IFERROR(VLOOKUP($E$6,'[3]15-16 Information'!$C$6:$AC$8,16,FALSE),0)</f>
        <v>0</v>
      </c>
      <c r="H26" s="26">
        <f>Budget!G15+Budget!G16+Budget!G17+Budget!G18+Budget!G19+Budget!G20+Budget!G21+Budget!G22+Budget!G23+Budget!G24+Budget!G25+Budget!G26+Budget!G27+Budget!G28+Budget!G29+Budget!G30+Budget!G31+Budget!G32+Budget!G33+Budget!G34+Budget!G35+Budget!G36+Budget!G37+Budget!G38+Budget!G39+Budget!G40+Budget!G54</f>
        <v>58004.700000000004</v>
      </c>
      <c r="I26" s="26"/>
    </row>
    <row r="27" spans="2:9" ht="15.75" customHeight="1">
      <c r="B27" s="23" t="s">
        <v>123</v>
      </c>
      <c r="C27" s="23"/>
      <c r="D27" s="24"/>
      <c r="E27" s="25">
        <f>_xlfn.IFERROR(VLOOKUP($E$6,'[3]15-16 Information'!$C$6:$AC$8,7,FALSE),0)</f>
        <v>19820</v>
      </c>
      <c r="F27" s="25">
        <f>_xlfn.IFERROR(VLOOKUP($E$6,'[3]15-16 Information'!$C$6:$AC$8,17,FALSE),0)</f>
        <v>0</v>
      </c>
      <c r="H27" s="26">
        <f>Budget!G50+Budget!G49+Budget!G48+Budget!G47+Budget!G43+Budget!G41+Budget!G51</f>
        <v>89105</v>
      </c>
      <c r="I27" s="26"/>
    </row>
    <row r="28" spans="2:9" ht="15.75" customHeight="1">
      <c r="B28" s="23" t="s">
        <v>124</v>
      </c>
      <c r="C28" s="23"/>
      <c r="D28" s="24"/>
      <c r="E28" s="25">
        <f>_xlfn.IFERROR(VLOOKUP($E$6,'[3]15-16 Information'!$C$6:$AC$8,8,FALSE),0)</f>
        <v>0</v>
      </c>
      <c r="F28" s="25">
        <f>_xlfn.IFERROR(VLOOKUP($E$6,'[3]15-16 Information'!$C$6:$AC$8,18,FALSE),0)</f>
        <v>0</v>
      </c>
      <c r="H28" s="26">
        <f>Budget!G14</f>
        <v>210</v>
      </c>
      <c r="I28" s="26"/>
    </row>
    <row r="29" spans="2:9" ht="15.75" customHeight="1">
      <c r="B29" s="116" t="s">
        <v>125</v>
      </c>
      <c r="C29" s="116"/>
      <c r="D29" s="117"/>
      <c r="E29" s="25">
        <f>_xlfn.IFERROR(VLOOKUP($E$6,'[3]15-16 Information'!$C$6:$AC$8,9,FALSE),0)</f>
        <v>0</v>
      </c>
      <c r="F29" s="25">
        <f>_xlfn.IFERROR(VLOOKUP($E$6,'[3]15-16 Information'!$C$6:$AC$8,19,FALSE),0)</f>
        <v>0</v>
      </c>
      <c r="H29" s="26"/>
      <c r="I29" s="26"/>
    </row>
    <row r="30" spans="2:9" ht="15.75" customHeight="1">
      <c r="B30" s="27" t="s">
        <v>80</v>
      </c>
      <c r="C30" s="27"/>
      <c r="D30" s="27"/>
      <c r="E30" s="25">
        <f>_xlfn.IFERROR(VLOOKUP($E$6,'[3]15-16 Information'!$C$6:$AC$8,10,FALSE),0)</f>
        <v>6748</v>
      </c>
      <c r="F30" s="25">
        <f>_xlfn.IFERROR(VLOOKUP($E$6,'[3]15-16 Information'!$C$6:$AC$8,20,FALSE),0)</f>
        <v>0</v>
      </c>
      <c r="H30" s="26">
        <f>Budget!G69</f>
        <v>-28094.53999999998</v>
      </c>
      <c r="I30" s="26"/>
    </row>
    <row r="31" spans="2:9" ht="9.75" customHeight="1">
      <c r="B31" s="27"/>
      <c r="C31" s="27"/>
      <c r="D31" s="27"/>
      <c r="E31" s="28"/>
      <c r="F31" s="28"/>
      <c r="H31" s="28"/>
      <c r="I31" s="28"/>
    </row>
    <row r="32" spans="2:9" ht="18" customHeight="1" thickBot="1">
      <c r="B32" s="21" t="s">
        <v>81</v>
      </c>
      <c r="C32" s="21"/>
      <c r="D32" s="21"/>
      <c r="F32" s="29">
        <f>SUM(E22:E30)-SUM(F22:F30)</f>
        <v>181950</v>
      </c>
      <c r="I32" s="29">
        <f>SUM(H22:H30)-SUM(I22:I30)</f>
        <v>307296.34</v>
      </c>
    </row>
    <row r="33" spans="2:9" ht="6.75" customHeight="1" thickTop="1">
      <c r="B33" s="27"/>
      <c r="C33" s="27"/>
      <c r="D33" s="27"/>
      <c r="E33" s="28"/>
      <c r="F33" s="28"/>
      <c r="I33" s="28"/>
    </row>
    <row r="34" spans="2:9" ht="14.25">
      <c r="B34" s="21" t="s">
        <v>82</v>
      </c>
      <c r="C34" s="21"/>
      <c r="D34" s="21"/>
      <c r="E34" s="30"/>
      <c r="F34" s="30"/>
      <c r="I34" s="30"/>
    </row>
    <row r="35" spans="2:9" ht="18" customHeight="1">
      <c r="B35" s="113" t="s">
        <v>83</v>
      </c>
      <c r="C35" s="113"/>
      <c r="D35" s="113"/>
      <c r="F35" s="31">
        <f>_xlfn.IFERROR(VLOOKUP($E$6,'[3]15-16 Information'!$C$6:$AC$8,23,FALSE),0)</f>
        <v>9662</v>
      </c>
      <c r="I35" s="31">
        <f>_xlfn.IFERROR(VLOOKUP($E$6,'[3]16-17 Grants &amp; Tax Base'!$C$6:$F$8,3,FALSE),0)</f>
        <v>4831</v>
      </c>
    </row>
    <row r="36" spans="2:9" ht="9.75" customHeight="1">
      <c r="B36" s="27"/>
      <c r="C36" s="27"/>
      <c r="D36" s="27"/>
      <c r="F36" s="28"/>
      <c r="I36" s="28"/>
    </row>
    <row r="37" spans="2:9" ht="18" customHeight="1" thickBot="1">
      <c r="B37" s="113" t="s">
        <v>84</v>
      </c>
      <c r="C37" s="113"/>
      <c r="D37" s="113"/>
      <c r="F37" s="29">
        <f>F32-F35</f>
        <v>172288</v>
      </c>
      <c r="I37" s="29">
        <v>302466</v>
      </c>
    </row>
    <row r="38" spans="2:9" ht="9.75" customHeight="1" thickTop="1">
      <c r="B38" s="15"/>
      <c r="C38" s="15"/>
      <c r="D38" s="15"/>
      <c r="F38" s="32"/>
      <c r="I38" s="32"/>
    </row>
    <row r="39" spans="2:9" ht="18" customHeight="1">
      <c r="B39" s="113" t="s">
        <v>85</v>
      </c>
      <c r="C39" s="113"/>
      <c r="D39" s="113"/>
      <c r="F39" s="33">
        <f>_xlfn.IFERROR(VLOOKUP($E$6,'[3]15-16 Information'!$C$6:$AC$8,26,FALSE),0)</f>
        <v>12762.1</v>
      </c>
      <c r="I39" s="33">
        <f>_xlfn.IFERROR(VLOOKUP($E$6,'[3]16-17 Grants &amp; Tax Base'!$C$6:$F$8,4,FALSE),0)</f>
        <v>12925.882218396795</v>
      </c>
    </row>
    <row r="40" spans="2:9" ht="9.75" customHeight="1">
      <c r="B40" s="15"/>
      <c r="C40" s="15"/>
      <c r="D40" s="15"/>
      <c r="F40" s="32"/>
      <c r="I40" s="32"/>
    </row>
    <row r="41" spans="2:9" ht="18" customHeight="1" thickBot="1">
      <c r="B41" s="113" t="s">
        <v>86</v>
      </c>
      <c r="C41" s="113"/>
      <c r="D41" s="113"/>
      <c r="F41" s="34">
        <f>_xlfn.IFERROR(ROUND(F37/F39,2),0)</f>
        <v>13.5</v>
      </c>
      <c r="I41" s="34">
        <f>_xlfn.IFERROR(ROUND(I37/I39,2),0)</f>
        <v>23.4</v>
      </c>
    </row>
    <row r="42" spans="2:9" ht="9.75" customHeight="1" thickTop="1">
      <c r="B42" s="15"/>
      <c r="C42" s="15"/>
      <c r="D42" s="15"/>
      <c r="E42" s="32"/>
      <c r="F42" s="32"/>
      <c r="I42" s="32"/>
    </row>
    <row r="43" spans="2:9" ht="18" customHeight="1" thickBot="1">
      <c r="B43" s="113" t="s">
        <v>126</v>
      </c>
      <c r="C43" s="113"/>
      <c r="D43" s="113"/>
      <c r="E43" s="32"/>
      <c r="F43" s="32"/>
      <c r="I43" s="34">
        <f>I41-F41</f>
        <v>9.899999999999999</v>
      </c>
    </row>
    <row r="44" spans="2:9" ht="9.75" customHeight="1" thickTop="1">
      <c r="B44" s="15"/>
      <c r="C44" s="15"/>
      <c r="D44" s="15"/>
      <c r="E44" s="32"/>
      <c r="F44" s="32"/>
      <c r="I44" s="32"/>
    </row>
    <row r="45" spans="2:9" ht="18" customHeight="1" thickBot="1">
      <c r="B45" s="113" t="s">
        <v>127</v>
      </c>
      <c r="C45" s="113"/>
      <c r="D45" s="113"/>
      <c r="E45" s="35"/>
      <c r="F45" s="35"/>
      <c r="I45" s="36">
        <f>_xlfn.IFERROR(ROUND(I43/F41,4),0)</f>
        <v>0.7333</v>
      </c>
    </row>
    <row r="46" spans="2:10" ht="15" thickTop="1">
      <c r="B46" s="15"/>
      <c r="C46" s="15"/>
      <c r="D46" s="15"/>
      <c r="E46" s="15"/>
      <c r="F46" s="15"/>
      <c r="G46" s="15"/>
      <c r="H46" s="15"/>
      <c r="I46" s="15"/>
      <c r="J46" s="15"/>
    </row>
    <row r="47" spans="2:10" ht="14.25">
      <c r="B47" s="15"/>
      <c r="C47" s="15"/>
      <c r="D47" s="15"/>
      <c r="E47" s="15"/>
      <c r="F47" s="15"/>
      <c r="G47" s="15"/>
      <c r="H47" s="15"/>
      <c r="I47" s="15"/>
      <c r="J47" s="15"/>
    </row>
    <row r="48" spans="2:10" ht="14.25">
      <c r="B48" s="114" t="s">
        <v>101</v>
      </c>
      <c r="C48" s="114"/>
      <c r="D48" s="114"/>
      <c r="E48" s="115"/>
      <c r="F48" s="115"/>
      <c r="G48" s="115"/>
      <c r="H48" s="115"/>
      <c r="I48" s="115"/>
      <c r="J48" s="115"/>
    </row>
    <row r="49" spans="2:10" ht="14.25">
      <c r="B49" s="15"/>
      <c r="C49" s="15"/>
      <c r="D49" s="15"/>
      <c r="E49" s="15"/>
      <c r="F49" s="15"/>
      <c r="G49" s="15"/>
      <c r="H49" s="15"/>
      <c r="I49" s="15"/>
      <c r="J49" s="15"/>
    </row>
    <row r="50" spans="2:10" ht="14.25">
      <c r="B50" s="15"/>
      <c r="C50" s="15"/>
      <c r="D50" s="15"/>
      <c r="E50" s="37"/>
      <c r="F50" s="37"/>
      <c r="G50" s="37"/>
      <c r="H50" s="37"/>
      <c r="I50" s="37"/>
      <c r="J50" s="37"/>
    </row>
    <row r="51" spans="2:10" ht="14.25">
      <c r="B51" s="15" t="s">
        <v>102</v>
      </c>
      <c r="C51" s="112"/>
      <c r="D51" s="112"/>
      <c r="E51" s="112"/>
      <c r="F51" s="112"/>
      <c r="G51" s="112"/>
      <c r="H51" s="112"/>
      <c r="I51" s="112"/>
      <c r="J51" s="112"/>
    </row>
    <row r="52" spans="2:10" ht="14.25">
      <c r="B52" s="15"/>
      <c r="C52" s="15"/>
      <c r="D52" s="15"/>
      <c r="E52" s="15"/>
      <c r="F52" s="15"/>
      <c r="G52" s="15"/>
      <c r="H52" s="15"/>
      <c r="I52" s="15"/>
      <c r="J52" s="15"/>
    </row>
  </sheetData>
  <sheetProtection/>
  <mergeCells count="31">
    <mergeCell ref="A1:J1"/>
    <mergeCell ref="A2:J2"/>
    <mergeCell ref="A3:J3"/>
    <mergeCell ref="A4:J4"/>
    <mergeCell ref="B6:D6"/>
    <mergeCell ref="E6:J6"/>
    <mergeCell ref="B7:E7"/>
    <mergeCell ref="B8:E8"/>
    <mergeCell ref="F8:J8"/>
    <mergeCell ref="B10:D10"/>
    <mergeCell ref="E10:J10"/>
    <mergeCell ref="C12:J12"/>
    <mergeCell ref="C14:J14"/>
    <mergeCell ref="C16:D16"/>
    <mergeCell ref="A18:J18"/>
    <mergeCell ref="E20:F20"/>
    <mergeCell ref="H20:I20"/>
    <mergeCell ref="B22:D22"/>
    <mergeCell ref="B23:D23"/>
    <mergeCell ref="B24:D24"/>
    <mergeCell ref="B25:D25"/>
    <mergeCell ref="B29:D29"/>
    <mergeCell ref="B35:D35"/>
    <mergeCell ref="B37:D37"/>
    <mergeCell ref="C51:J51"/>
    <mergeCell ref="B39:D39"/>
    <mergeCell ref="B41:D41"/>
    <mergeCell ref="B43:D43"/>
    <mergeCell ref="B45:D45"/>
    <mergeCell ref="B48:D48"/>
    <mergeCell ref="E48:J48"/>
  </mergeCells>
  <hyperlinks>
    <hyperlink ref="F16" r:id="rId1" display="julia.dyball@burystedmunds.suffolk.gov.uk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shindry</dc:creator>
  <cp:keywords/>
  <dc:description/>
  <cp:lastModifiedBy>Hindry, Susan</cp:lastModifiedBy>
  <cp:lastPrinted>2016-02-01T12:34:14Z</cp:lastPrinted>
  <dcterms:created xsi:type="dcterms:W3CDTF">2014-01-22T13:59:06Z</dcterms:created>
  <dcterms:modified xsi:type="dcterms:W3CDTF">2016-02-08T11:21:09Z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